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conciliation" sheetId="2" state="visible" r:id="rId2"/>
    <sheet xmlns:r="http://schemas.openxmlformats.org/officeDocument/2006/relationships" name="Lines" sheetId="3" state="visible" r:id="rId3"/>
    <sheet xmlns:r="http://schemas.openxmlformats.org/officeDocument/2006/relationships" name="Cause codes" sheetId="4" state="visible" r:id="rId4"/>
    <sheet xmlns:r="http://schemas.openxmlformats.org/officeDocument/2006/relationships" name="Checks" sheetId="5" state="visible" r:id="rId5"/>
  </sheets>
  <definedNames>
    <definedName name="CauseCodes">'Cause codes'!$A$2:$F$27</definedName>
    <definedName name="StatementBalance">Reconciliation!$C$16</definedName>
    <definedName name="LedgerBalance">Reconciliation!$C$44</definedName>
    <definedName name="UnexplainedResidual">Reconciliation!$C$45</definedName>
    <definedName name="DispositionSplit">Reconciliation!$A$49:$D$53</definedName>
    <definedName name="_xlnm._FilterDatabase" localSheetId="2" hidden="1">'Lines'!$A$1:$P$41</definedName>
    <definedName name="_xlnm._FilterDatabase" localSheetId="3" hidden="1">'Cause codes'!$A$1:$F$27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;[Red](#,##0.00)"/>
  </numFmts>
  <fonts count="6">
    <font>
      <name val="Calibri"/>
      <family val="2"/>
      <color theme="1"/>
      <sz val="11"/>
      <scheme val="minor"/>
    </font>
    <font>
      <b val="1"/>
      <color rgb="001F3B57"/>
      <sz val="14"/>
    </font>
    <font>
      <b val="1"/>
      <color rgb="00FFFFFF"/>
    </font>
    <font>
      <b val="1"/>
    </font>
    <font>
      <color rgb="004A5A66"/>
      <sz val="9"/>
    </font>
    <font>
      <b val="1"/>
      <sz val="12"/>
    </font>
  </fonts>
  <fills count="8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FFF7E0"/>
      </patternFill>
    </fill>
    <fill>
      <patternFill patternType="solid">
        <fgColor rgb="00E8EEF3"/>
      </patternFill>
    </fill>
    <fill>
      <patternFill patternType="solid">
        <fgColor rgb="00FCE4E4"/>
      </patternFill>
    </fill>
    <fill>
      <patternFill patternType="solid">
        <fgColor rgb="00E4ECFA"/>
      </patternFill>
    </fill>
    <fill>
      <patternFill patternType="solid">
        <fgColor rgb="00EAF3E6"/>
      </patternFill>
    </fill>
  </fills>
  <borders count="2">
    <border>
      <left/>
      <right/>
      <top/>
      <bottom/>
      <diagonal/>
    </border>
    <border>
      <left style="thin">
        <color rgb="00B7C3CC"/>
      </left>
      <right style="thin">
        <color rgb="00B7C3CC"/>
      </right>
      <top style="thin">
        <color rgb="00B7C3CC"/>
      </top>
      <bottom style="thin">
        <color rgb="00B7C3C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pivotButton="0" quotePrefix="0" xfId="0"/>
    <xf numFmtId="0" fontId="0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3" borderId="1" pivotButton="0" quotePrefix="0" xfId="0"/>
    <xf numFmtId="0" fontId="4" fillId="0" borderId="0" pivotButton="0" quotePrefix="0" xfId="0"/>
    <xf numFmtId="164" fontId="0" fillId="3" borderId="1" pivotButton="0" quotePrefix="0" xfId="0"/>
    <xf numFmtId="165" fontId="0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wrapText="1"/>
    </xf>
    <xf numFmtId="165" fontId="0" fillId="0" borderId="1" pivotButton="0" quotePrefix="0" xfId="0"/>
    <xf numFmtId="0" fontId="0" fillId="4" borderId="1" pivotButton="0" quotePrefix="0" xfId="0"/>
    <xf numFmtId="0" fontId="0" fillId="4" borderId="1" applyAlignment="1" pivotButton="0" quotePrefix="0" xfId="0">
      <alignment wrapText="1"/>
    </xf>
    <xf numFmtId="165" fontId="0" fillId="4" borderId="1" pivotButton="0" quotePrefix="0" xfId="0"/>
    <xf numFmtId="165" fontId="3" fillId="0" borderId="1" pivotButton="0" quotePrefix="0" xfId="0"/>
    <xf numFmtId="165" fontId="3" fillId="5" borderId="1" pivotButton="0" quotePrefix="0" xfId="0"/>
    <xf numFmtId="0" fontId="4" fillId="0" borderId="1" pivotButton="0" quotePrefix="0" xfId="0"/>
    <xf numFmtId="0" fontId="3" fillId="6" borderId="1" pivotButton="0" quotePrefix="0" xfId="0"/>
    <xf numFmtId="0" fontId="3" fillId="5" borderId="1" pivotButton="0" quotePrefix="0" xfId="0"/>
    <xf numFmtId="0" fontId="3" fillId="0" borderId="1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7" borderId="1" applyAlignment="1" pivotButton="0" quotePrefix="0" xfId="0">
      <alignment vertical="top"/>
    </xf>
    <xf numFmtId="0" fontId="0" fillId="6" borderId="1" applyAlignment="1" pivotButton="0" quotePrefix="0" xfId="0">
      <alignment vertical="top"/>
    </xf>
    <xf numFmtId="0" fontId="0" fillId="5" borderId="1" applyAlignment="1" pivotButton="0" quotePrefix="0" xfId="0">
      <alignment vertical="top"/>
    </xf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5" fillId="5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E4ECFA"/>
        </patternFill>
      </fill>
    </dxf>
    <dxf>
      <fill>
        <patternFill patternType="solid">
          <fgColor rgb="00EAF3E6"/>
        </patternFill>
      </fill>
    </dxf>
    <dxf>
      <fill>
        <patternFill patternType="solid">
          <fgColor rgb="00FCE4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Vendor statement reconciliation workbook</t>
        </is>
      </c>
    </row>
    <row r="3">
      <c r="A3" s="2" t="inlineStr">
        <is>
          <t>Topic</t>
        </is>
      </c>
      <c r="B3" s="2" t="inlineStr">
        <is>
          <t>Note</t>
        </is>
      </c>
    </row>
    <row r="4" ht="30" customHeight="1">
      <c r="A4" s="3" t="inlineStr">
        <is>
          <t>What this workbook is</t>
        </is>
      </c>
      <c r="B4" s="4" t="inlineStr">
        <is>
          <t>A supplier statement reconciliation that records why each difference exists, not merely which side it sits on.</t>
        </is>
      </c>
    </row>
    <row r="5" ht="30" customHeight="1">
      <c r="A5" s="3" t="inlineStr">
        <is>
          <t>Who it is for</t>
        </is>
      </c>
      <c r="B5" s="4" t="inlineStr">
        <is>
          <t>Anyone reconciling a vendor statement by hand or against an AP extract, in a spreadsheet rather than a matching product.</t>
        </is>
      </c>
    </row>
    <row r="6" ht="30" customHeight="1">
      <c r="A6" s="3" t="inlineStr">
        <is>
          <t>Read me</t>
        </is>
      </c>
      <c r="B6" s="4" t="inlineStr">
        <is>
          <t>Cell notes and the KB reference column point at the page that argues each cause. This sheet is not the documentation; kb/60-automation/ is.</t>
        </is>
      </c>
    </row>
    <row r="7" ht="30" customHeight="1">
      <c r="A7" s="3" t="inlineStr">
        <is>
          <t>Reconciliation</t>
        </is>
      </c>
      <c r="B7" s="4" t="inlineStr">
        <is>
          <t>The header, the bridge from statement balance to ledger balance, the disposition split, and the ageing of everything still unresolved.</t>
        </is>
      </c>
    </row>
    <row r="8" ht="30" customHeight="1">
      <c r="A8" s="3" t="inlineStr">
        <is>
          <t>Lines</t>
        </is>
      </c>
      <c r="B8" s="4" t="inlineStr">
        <is>
          <t>One row per reconciling item. Enter the two amounts and a cause code; the difference, the age, the disposition, the owner and the KB link are derived.</t>
        </is>
      </c>
    </row>
    <row r="9" ht="30" customHeight="1">
      <c r="A9" s="3" t="inlineStr">
        <is>
          <t>Cause codes</t>
        </is>
      </c>
      <c r="B9" s="4" t="inlineStr">
        <is>
          <t>The published vocabulary. Twenty-six codes, each with an error owner, whether it self-corrects, its disposition, and the KB page behind it.</t>
        </is>
      </c>
    </row>
    <row r="10" ht="30" customHeight="1">
      <c r="A10" s="3" t="inlineStr">
        <is>
          <t>Checks</t>
        </is>
      </c>
      <c r="B10" s="4" t="inlineStr">
        <is>
          <t>Ten automated checks and a sign-off cell that reads NOT SIGNABLE while any of them fails. A reconciliation that foots is not the same as one that is right.</t>
        </is>
      </c>
    </row>
    <row r="11" ht="30" customHeight="1">
      <c r="A11" s="3" t="inlineStr">
        <is>
          <t>The one rule to keep</t>
        </is>
      </c>
      <c r="B11" s="4" t="inlineStr">
        <is>
          <t>Never plug. A difference you cannot explain is coded UNIDENTIFIED, aged, and carried into next month; it is not journalled away to make the sheet close.</t>
        </is>
      </c>
    </row>
    <row r="12" ht="30" customHeight="1">
      <c r="A12" s="3" t="inlineStr">
        <is>
          <t>Sign convention</t>
        </is>
      </c>
      <c r="B12" s="4" t="inlineStr">
        <is>
          <t>Difference = statement amount less ledger amount. A positive difference means the vendor says we owe more than our ledger does.</t>
        </is>
      </c>
    </row>
    <row r="13" ht="30" customHeight="1">
      <c r="A13" s="3" t="inlineStr">
        <is>
          <t>Provenance</t>
        </is>
      </c>
      <c r="B13" s="4" t="inlineStr">
        <is>
          <t>Generated by tools/build_workbook.py. Nothing in this file is copied from any third-party template; the layout, the vocabulary and the formulas are ours.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6" customWidth="1" min="2" max="2"/>
    <col width="18" customWidth="1" min="3" max="3"/>
    <col width="18" customWidth="1" min="4" max="4"/>
  </cols>
  <sheetData>
    <row r="1">
      <c r="A1" s="1" t="inlineStr">
        <is>
          <t>Vendor statement reconciliation workbook</t>
        </is>
      </c>
    </row>
    <row r="3">
      <c r="A3" s="5" t="inlineStr">
        <is>
          <t>Supplier name</t>
        </is>
      </c>
      <c r="B3" s="6" t="n"/>
      <c r="C3" s="7" t="inlineStr">
        <is>
          <t>As it appears on the statement letterhead</t>
        </is>
      </c>
    </row>
    <row r="4">
      <c r="A4" s="5" t="inlineStr">
        <is>
          <t>Supplier account code</t>
        </is>
      </c>
      <c r="B4" s="6" t="n"/>
      <c r="C4" s="7" t="inlineStr">
        <is>
          <t>Our purchase-ledger account, not theirs</t>
        </is>
      </c>
    </row>
    <row r="5">
      <c r="A5" s="5" t="inlineStr">
        <is>
          <t>Statement date</t>
        </is>
      </c>
      <c r="B5" s="8" t="n"/>
      <c r="C5" s="7" t="inlineStr">
        <is>
          <t>The as-at date printed on the statement</t>
        </is>
      </c>
    </row>
    <row r="6">
      <c r="A6" s="5" t="inlineStr">
        <is>
          <t>Statement currency</t>
        </is>
      </c>
      <c r="B6" s="6" t="n"/>
      <c r="C6" s="7" t="inlineStr">
        <is>
          <t>ISO code as stated by the vendor</t>
        </is>
      </c>
    </row>
    <row r="7">
      <c r="A7" s="5" t="inlineStr">
        <is>
          <t>Ledger currency</t>
        </is>
      </c>
      <c r="B7" s="6" t="n"/>
      <c r="C7" s="7" t="inlineStr">
        <is>
          <t>ISO code our purchase ledger holds</t>
        </is>
      </c>
    </row>
    <row r="8">
      <c r="A8" s="5" t="inlineStr">
        <is>
          <t>Period from</t>
        </is>
      </c>
      <c r="B8" s="8" t="n"/>
      <c r="C8" s="7" t="inlineStr">
        <is>
          <t>First date this statement claims to cover</t>
        </is>
      </c>
    </row>
    <row r="9">
      <c r="A9" s="5" t="inlineStr">
        <is>
          <t>Period to</t>
        </is>
      </c>
      <c r="B9" s="8" t="n"/>
      <c r="C9" s="7" t="inlineStr">
        <is>
          <t>Last date this statement claims to cover</t>
        </is>
      </c>
    </row>
    <row r="10">
      <c r="A10" s="5" t="inlineStr">
        <is>
          <t>Opening balance agreed</t>
        </is>
      </c>
      <c r="B10" s="6" t="n"/>
      <c r="C10" s="7" t="inlineStr">
        <is>
          <t>Yes only when last month's closing figures were compared, not assumed</t>
        </is>
      </c>
    </row>
    <row r="11">
      <c r="A11" s="5" t="inlineStr">
        <is>
          <t>Prepared by</t>
        </is>
      </c>
      <c r="B11" s="6" t="n"/>
      <c r="C11" s="7" t="inlineStr"/>
    </row>
    <row r="12">
      <c r="A12" s="5" t="inlineStr">
        <is>
          <t>Reviewed by</t>
        </is>
      </c>
      <c r="B12" s="6" t="n"/>
      <c r="C12" s="7" t="inlineStr">
        <is>
          <t>Someone other than the preparer</t>
        </is>
      </c>
    </row>
    <row r="15">
      <c r="A15" s="2" t="inlineStr">
        <is>
          <t>Code</t>
        </is>
      </c>
      <c r="B15" s="2" t="inlineStr">
        <is>
          <t>Reconciling item</t>
        </is>
      </c>
      <c r="C15" s="2" t="inlineStr">
        <is>
          <t>Amount</t>
        </is>
      </c>
      <c r="D15" s="2" t="inlineStr">
        <is>
          <t>Disposition</t>
        </is>
      </c>
    </row>
    <row r="16">
      <c r="A16" s="5" t="inlineStr">
        <is>
          <t>Balance per supplier statement</t>
        </is>
      </c>
      <c r="C16" s="9" t="n"/>
    </row>
    <row r="17">
      <c r="A17" s="10" t="inlineStr">
        <is>
          <t>TIMING-PAY-TRANSIT</t>
        </is>
      </c>
      <c r="B17" s="11" t="inlineStr">
        <is>
          <t>Payment released by us, not yet received or applied by the vendor</t>
        </is>
      </c>
      <c r="C17" s="12">
        <f>SUMIF(Lines!$J:$J,$A17,Lines!$G:$G)</f>
        <v/>
      </c>
      <c r="D17" s="10" t="inlineStr">
        <is>
          <t>HOLD-TIMING</t>
        </is>
      </c>
    </row>
    <row r="18">
      <c r="A18" s="13" t="inlineStr">
        <is>
          <t>TIMING-INV-TRANSIT</t>
        </is>
      </c>
      <c r="B18" s="14" t="inlineStr">
        <is>
          <t>Invoice raised by the vendor inside the period, not yet reached us</t>
        </is>
      </c>
      <c r="C18" s="15">
        <f>SUMIF(Lines!$J:$J,$A18,Lines!$G:$G)</f>
        <v/>
      </c>
      <c r="D18" s="13" t="inlineStr">
        <is>
          <t>HOLD-TIMING</t>
        </is>
      </c>
    </row>
    <row r="19">
      <c r="A19" s="10" t="inlineStr">
        <is>
          <t>GRNI-IN-TRANSIT</t>
        </is>
      </c>
      <c r="B19" s="11" t="inlineStr">
        <is>
          <t>Goods received and accrued in GRNI, invoice still in transit</t>
        </is>
      </c>
      <c r="C19" s="12">
        <f>SUMIF(Lines!$J:$J,$A19,Lines!$G:$G)</f>
        <v/>
      </c>
      <c r="D19" s="10" t="inlineStr">
        <is>
          <t>HOLD-TIMING</t>
        </is>
      </c>
    </row>
    <row r="20">
      <c r="A20" s="13" t="inlineStr">
        <is>
          <t>GRNI-AGED</t>
        </is>
      </c>
      <c r="B20" s="14" t="inlineStr">
        <is>
          <t>GRNI older than this vendor's despatch-to-invoice lead time</t>
        </is>
      </c>
      <c r="C20" s="15">
        <f>SUMIF(Lines!$J:$J,$A20,Lines!$G:$G)</f>
        <v/>
      </c>
      <c r="D20" s="13" t="inlineStr">
        <is>
          <t>QUERY-VENDOR</t>
        </is>
      </c>
    </row>
    <row r="21">
      <c r="A21" s="10" t="inlineStr">
        <is>
          <t>INV-NOT-RECEIVED</t>
        </is>
      </c>
      <c r="B21" s="11" t="inlineStr">
        <is>
          <t>Statement line with no invoice and no receipt anywhere on our side</t>
        </is>
      </c>
      <c r="C21" s="12">
        <f>SUMIF(Lines!$J:$J,$A21,Lines!$G:$G)</f>
        <v/>
      </c>
      <c r="D21" s="10" t="inlineStr">
        <is>
          <t>QUERY-VENDOR</t>
        </is>
      </c>
    </row>
    <row r="22">
      <c r="A22" s="13" t="inlineStr">
        <is>
          <t>INV-NOT-POSTED</t>
        </is>
      </c>
      <c r="B22" s="14" t="inlineStr">
        <is>
          <t>Invoice received and approved by us, never posted to the ledger</t>
        </is>
      </c>
      <c r="C22" s="15">
        <f>SUMIF(Lines!$J:$J,$A22,Lines!$G:$G)</f>
        <v/>
      </c>
      <c r="D22" s="13" t="inlineStr">
        <is>
          <t>ADJUST-OURS</t>
        </is>
      </c>
    </row>
    <row r="23">
      <c r="A23" s="10" t="inlineStr">
        <is>
          <t>RTV-NOT-CREDITED</t>
        </is>
      </c>
      <c r="B23" s="11" t="inlineStr">
        <is>
          <t>Goods returned and posted by us, not yet credited by the vendor</t>
        </is>
      </c>
      <c r="C23" s="12">
        <f>SUMIF(Lines!$J:$J,$A23,Lines!$G:$G)</f>
        <v/>
      </c>
      <c r="D23" s="10" t="inlineStr">
        <is>
          <t>QUERY-VENDOR</t>
        </is>
      </c>
    </row>
    <row r="24">
      <c r="A24" s="13" t="inlineStr">
        <is>
          <t>CN-NEVER-ISSUED</t>
        </is>
      </c>
      <c r="B24" s="14" t="inlineStr">
        <is>
          <t>Credit agreed in conversation, no credit note ever raised by either side</t>
        </is>
      </c>
      <c r="C24" s="15">
        <f>SUMIF(Lines!$J:$J,$A24,Lines!$G:$G)</f>
        <v/>
      </c>
      <c r="D24" s="13" t="inlineStr">
        <is>
          <t>QUERY-VENDOR</t>
        </is>
      </c>
    </row>
    <row r="25">
      <c r="A25" s="10" t="inlineStr">
        <is>
          <t>CN-SUPPRESSED</t>
        </is>
      </c>
      <c r="B25" s="11" t="inlineStr">
        <is>
          <t>Credit open on our side, omitted from the vendor's printed statement</t>
        </is>
      </c>
      <c r="C25" s="12">
        <f>SUMIF(Lines!$J:$J,$A25,Lines!$G:$G)</f>
        <v/>
      </c>
      <c r="D25" s="10" t="inlineStr">
        <is>
          <t>QUERY-VENDOR</t>
        </is>
      </c>
    </row>
    <row r="26">
      <c r="A26" s="13" t="inlineStr">
        <is>
          <t>DEBIT-NOTE-OPEN</t>
        </is>
      </c>
      <c r="B26" s="14" t="inlineStr">
        <is>
          <t>Our debit note; the claim is raised and the vendor has not accepted it</t>
        </is>
      </c>
      <c r="C26" s="15">
        <f>SUMIF(Lines!$J:$J,$A26,Lines!$G:$G)</f>
        <v/>
      </c>
      <c r="D26" s="13" t="inlineStr">
        <is>
          <t>QUERY-VENDOR</t>
        </is>
      </c>
    </row>
    <row r="27">
      <c r="A27" s="10" t="inlineStr">
        <is>
          <t>SD-RESIDUAL</t>
        </is>
      </c>
      <c r="B27" s="11" t="inlineStr">
        <is>
          <t>Settlement discount earned within terms, not applied by the vendor</t>
        </is>
      </c>
      <c r="C27" s="12">
        <f>SUMIF(Lines!$J:$J,$A27,Lines!$G:$G)</f>
        <v/>
      </c>
      <c r="D27" s="10" t="inlineStr">
        <is>
          <t>NEVER-CHASE</t>
        </is>
      </c>
    </row>
    <row r="28">
      <c r="A28" s="13" t="inlineStr">
        <is>
          <t>SD-UNEARNED</t>
        </is>
      </c>
      <c r="B28" s="14" t="inlineStr">
        <is>
          <t>Settlement discount deducted on a payment released outside terms</t>
        </is>
      </c>
      <c r="C28" s="15">
        <f>SUMIF(Lines!$J:$J,$A28,Lines!$G:$G)</f>
        <v/>
      </c>
      <c r="D28" s="13" t="inlineStr">
        <is>
          <t>ADJUST-OURS</t>
        </is>
      </c>
    </row>
    <row r="29">
      <c r="A29" s="10" t="inlineStr">
        <is>
          <t>SHORT-PAY</t>
        </is>
      </c>
      <c r="B29" s="11" t="inlineStr">
        <is>
          <t>Deduction taken with no terms, credit note or debit note behind it</t>
        </is>
      </c>
      <c r="C29" s="12">
        <f>SUMIF(Lines!$J:$J,$A29,Lines!$G:$G)</f>
        <v/>
      </c>
      <c r="D29" s="10" t="inlineStr">
        <is>
          <t>QUERY-VENDOR</t>
        </is>
      </c>
    </row>
    <row r="30">
      <c r="A30" s="13" t="inlineStr">
        <is>
          <t>CASH-UNAPPLIED</t>
        </is>
      </c>
      <c r="B30" s="14" t="inlineStr">
        <is>
          <t>Our payment banked by the vendor and left sitting unallocated</t>
        </is>
      </c>
      <c r="C30" s="15">
        <f>SUMIF(Lines!$J:$J,$A30,Lines!$G:$G)</f>
        <v/>
      </c>
      <c r="D30" s="13" t="inlineStr">
        <is>
          <t>QUERY-VENDOR</t>
        </is>
      </c>
    </row>
    <row r="31">
      <c r="A31" s="10" t="inlineStr">
        <is>
          <t>CASH-MISALLOCATED</t>
        </is>
      </c>
      <c r="B31" s="11" t="inlineStr">
        <is>
          <t>Payment applied by the vendor against invoices we did not intend to settle</t>
        </is>
      </c>
      <c r="C31" s="12">
        <f>SUMIF(Lines!$J:$J,$A31,Lines!$G:$G)</f>
        <v/>
      </c>
      <c r="D31" s="10" t="inlineStr">
        <is>
          <t>QUERY-VENDOR</t>
        </is>
      </c>
    </row>
    <row r="32">
      <c r="A32" s="13" t="inlineStr">
        <is>
          <t>DUP-PAYMENT</t>
        </is>
      </c>
      <c r="B32" s="14" t="inlineStr">
        <is>
          <t>Same liability paid twice; the vendor holds an unexplained credit</t>
        </is>
      </c>
      <c r="C32" s="15">
        <f>SUMIF(Lines!$J:$J,$A32,Lines!$G:$G)</f>
        <v/>
      </c>
      <c r="D32" s="13" t="inlineStr">
        <is>
          <t>ADJUST-OURS</t>
        </is>
      </c>
    </row>
    <row r="33">
      <c r="A33" s="10" t="inlineStr">
        <is>
          <t>DUP-STATEMENT-LINE</t>
        </is>
      </c>
      <c r="B33" s="11" t="inlineStr">
        <is>
          <t>One document printed twice on the vendor's own statement</t>
        </is>
      </c>
      <c r="C33" s="12">
        <f>SUMIF(Lines!$J:$J,$A33,Lines!$G:$G)</f>
        <v/>
      </c>
      <c r="D33" s="10" t="inlineStr">
        <is>
          <t>QUERY-VENDOR</t>
        </is>
      </c>
    </row>
    <row r="34">
      <c r="A34" s="13" t="inlineStr">
        <is>
          <t>WRONG-SUPPLIER</t>
        </is>
      </c>
      <c r="B34" s="14" t="inlineStr">
        <is>
          <t>Document posted to a different vendor's account in our purchase ledger</t>
        </is>
      </c>
      <c r="C34" s="15">
        <f>SUMIF(Lines!$J:$J,$A34,Lines!$G:$G)</f>
        <v/>
      </c>
      <c r="D34" s="13" t="inlineStr">
        <is>
          <t>ADJUST-OURS</t>
        </is>
      </c>
    </row>
    <row r="35">
      <c r="A35" s="10" t="inlineStr">
        <is>
          <t>SIGN-FLIP</t>
        </is>
      </c>
      <c r="B35" s="11" t="inlineStr">
        <is>
          <t>Invoice posted as a credit note or the reverse; gap is twice the face value</t>
        </is>
      </c>
      <c r="C35" s="12">
        <f>SUMIF(Lines!$J:$J,$A35,Lines!$G:$G)</f>
        <v/>
      </c>
      <c r="D35" s="10" t="inlineStr">
        <is>
          <t>ADJUST-OURS</t>
        </is>
      </c>
    </row>
    <row r="36">
      <c r="A36" s="13" t="inlineStr">
        <is>
          <t>KEYING-AMOUNT</t>
        </is>
      </c>
      <c r="B36" s="14" t="inlineStr">
        <is>
          <t>Same reference on both sides, amounts differ — transposition or mis-key</t>
        </is>
      </c>
      <c r="C36" s="15">
        <f>SUMIF(Lines!$J:$J,$A36,Lines!$G:$G)</f>
        <v/>
      </c>
      <c r="D36" s="13" t="inlineStr">
        <is>
          <t>QUERY-VENDOR</t>
        </is>
      </c>
    </row>
    <row r="37">
      <c r="A37" s="10" t="inlineStr">
        <is>
          <t>TAX-BASIS</t>
        </is>
      </c>
      <c r="B37" s="11" t="inlineStr">
        <is>
          <t>One side holds net and the other gross; every line is off by the tax rate</t>
        </is>
      </c>
      <c r="C37" s="12">
        <f>SUMIF(Lines!$J:$J,$A37,Lines!$G:$G)</f>
        <v/>
      </c>
      <c r="D37" s="10" t="inlineStr">
        <is>
          <t>ADJUST-OURS</t>
        </is>
      </c>
    </row>
    <row r="38">
      <c r="A38" s="13" t="inlineStr">
        <is>
          <t>FX-TRANSLATION</t>
        </is>
      </c>
      <c r="B38" s="14" t="inlineStr">
        <is>
          <t>Vendor states their currency; our ledger holds ours at a different rate</t>
        </is>
      </c>
      <c r="C38" s="15">
        <f>SUMIF(Lines!$J:$J,$A38,Lines!$G:$G)</f>
        <v/>
      </c>
      <c r="D38" s="13" t="inlineStr">
        <is>
          <t>NEVER-CHASE</t>
        </is>
      </c>
    </row>
    <row r="39">
      <c r="A39" s="10" t="inlineStr">
        <is>
          <t>ROUNDING</t>
        </is>
      </c>
      <c r="B39" s="11" t="inlineStr">
        <is>
          <t>Per-line versus document-total tax rounding; pence, never pounds</t>
        </is>
      </c>
      <c r="C39" s="12">
        <f>SUMIF(Lines!$J:$J,$A39,Lines!$G:$G)</f>
        <v/>
      </c>
      <c r="D39" s="10" t="inlineStr">
        <is>
          <t>NEVER-CHASE</t>
        </is>
      </c>
    </row>
    <row r="40">
      <c r="A40" s="13" t="inlineStr">
        <is>
          <t>INTEREST-FEE</t>
        </is>
      </c>
      <c r="B40" s="14" t="inlineStr">
        <is>
          <t>Late-payment interest or fee added by the vendor, on no approved invoice</t>
        </is>
      </c>
      <c r="C40" s="15">
        <f>SUMIF(Lines!$J:$J,$A40,Lines!$G:$G)</f>
        <v/>
      </c>
      <c r="D40" s="13" t="inlineStr">
        <is>
          <t>QUERY-VENDOR</t>
        </is>
      </c>
    </row>
    <row r="41">
      <c r="A41" s="10" t="inlineStr">
        <is>
          <t>CONTRA-SETOFF</t>
        </is>
      </c>
      <c r="B41" s="11" t="inlineStr">
        <is>
          <t>Set-off against a sales-ledger balance owed by the same counterparty</t>
        </is>
      </c>
      <c r="C41" s="12">
        <f>SUMIF(Lines!$J:$J,$A41,Lines!$G:$G)</f>
        <v/>
      </c>
      <c r="D41" s="10" t="inlineStr">
        <is>
          <t>QUERY-VENDOR</t>
        </is>
      </c>
    </row>
    <row r="42">
      <c r="A42" s="13" t="inlineStr">
        <is>
          <t>UNIDENTIFIED</t>
        </is>
      </c>
      <c r="B42" s="14" t="inlineStr">
        <is>
          <t>Difference that survived every check above — named, aged, and never plugged</t>
        </is>
      </c>
      <c r="C42" s="15">
        <f>SUMIF(Lines!$J:$J,$A42,Lines!$G:$G)</f>
        <v/>
      </c>
      <c r="D42" s="13" t="inlineStr">
        <is>
          <t>UNIDENTIFIED</t>
        </is>
      </c>
    </row>
    <row r="43">
      <c r="A43" s="5" t="inlineStr">
        <is>
          <t>Total identified differences</t>
        </is>
      </c>
      <c r="C43" s="16">
        <f>SUM(C17:C42)</f>
        <v/>
      </c>
    </row>
    <row r="44">
      <c r="A44" s="5" t="inlineStr">
        <is>
          <t>Balance per our purchase ledger</t>
        </is>
      </c>
      <c r="C44" s="9" t="n"/>
    </row>
    <row r="45">
      <c r="A45" s="5" t="inlineStr">
        <is>
          <t>Unexplained residual (never plug this)</t>
        </is>
      </c>
      <c r="B45" s="7" t="inlineStr">
        <is>
          <t>Statement less identified differences, less the ledger. Code it UNIDENTIFIED on the Lines grid rather than leaving it here.</t>
        </is>
      </c>
      <c r="C45" s="17">
        <f>C16-C43-C44</f>
        <v/>
      </c>
    </row>
    <row r="48">
      <c r="A48" s="2" t="inlineStr">
        <is>
          <t>Disposition</t>
        </is>
      </c>
      <c r="B48" s="2" t="inlineStr">
        <is>
          <t>What it means</t>
        </is>
      </c>
      <c r="C48" s="2" t="inlineStr">
        <is>
          <t>Amount</t>
        </is>
      </c>
      <c r="D48" s="2" t="inlineStr">
        <is>
          <t>Lines</t>
        </is>
      </c>
    </row>
    <row r="49">
      <c r="A49" s="3" t="inlineStr">
        <is>
          <t>ADJUST-OURS</t>
        </is>
      </c>
      <c r="B49" s="18" t="inlineStr">
        <is>
          <t>Our record is wrong. Post the correction here.</t>
        </is>
      </c>
      <c r="C49" s="12">
        <f>SUMIF(Lines!$K:$K,"ADJUST-OURS",Lines!$G:$G)</f>
        <v/>
      </c>
      <c r="D49" s="10">
        <f>COUNTIF(Lines!$K:$K,"ADJUST-OURS")</f>
        <v/>
      </c>
    </row>
    <row r="50">
      <c r="A50" s="3" t="inlineStr">
        <is>
          <t>QUERY-VENDOR</t>
        </is>
      </c>
      <c r="B50" s="18" t="inlineStr">
        <is>
          <t>Their record is wrong or contested. Raise it with them.</t>
        </is>
      </c>
      <c r="C50" s="12">
        <f>SUMIF(Lines!$K:$K,"QUERY-VENDOR",Lines!$G:$G)</f>
        <v/>
      </c>
      <c r="D50" s="10">
        <f>COUNTIF(Lines!$K:$K,"QUERY-VENDOR")</f>
        <v/>
      </c>
    </row>
    <row r="51">
      <c r="A51" s="3" t="inlineStr">
        <is>
          <t>HOLD-TIMING</t>
        </is>
      </c>
      <c r="B51" s="18" t="inlineStr">
        <is>
          <t>Nobody is wrong. Carry it; next month resolves it.</t>
        </is>
      </c>
      <c r="C51" s="12">
        <f>SUMIF(Lines!$K:$K,"HOLD-TIMING",Lines!$G:$G)</f>
        <v/>
      </c>
      <c r="D51" s="10">
        <f>COUNTIF(Lines!$K:$K,"HOLD-TIMING")</f>
        <v/>
      </c>
    </row>
    <row r="52">
      <c r="A52" s="19" t="inlineStr">
        <is>
          <t>NEVER-CHASE</t>
        </is>
      </c>
      <c r="B52" s="18" t="inlineStr">
        <is>
          <t>Correct and not collectable. Chasing it takes money we do not owe.</t>
        </is>
      </c>
      <c r="C52" s="12">
        <f>SUMIF(Lines!$K:$K,"NEVER-CHASE",Lines!$G:$G)</f>
        <v/>
      </c>
      <c r="D52" s="10">
        <f>COUNTIF(Lines!$K:$K,"NEVER-CHASE")</f>
        <v/>
      </c>
    </row>
    <row r="53">
      <c r="A53" s="20" t="inlineStr">
        <is>
          <t>UNIDENTIFIED</t>
        </is>
      </c>
      <c r="B53" s="18" t="inlineStr">
        <is>
          <t>Not explained. Age it and carry it, visibly.</t>
        </is>
      </c>
      <c r="C53" s="12">
        <f>SUMIF(Lines!$K:$K,"UNIDENTIFIED",Lines!$G:$G)</f>
        <v/>
      </c>
      <c r="D53" s="10">
        <f>COUNTIF(Lines!$K:$K,"UNIDENTIFIED")</f>
        <v/>
      </c>
    </row>
    <row r="56">
      <c r="A56" s="2" t="inlineStr">
        <is>
          <t>Ageing of unresolved items</t>
        </is>
      </c>
      <c r="B56" s="2" t="inlineStr">
        <is>
          <t>Amount</t>
        </is>
      </c>
      <c r="C56" s="2" t="inlineStr">
        <is>
          <t>Lines</t>
        </is>
      </c>
      <c r="D56" s="2" t="inlineStr"/>
    </row>
    <row r="57">
      <c r="A57" s="3" t="inlineStr">
        <is>
          <t>0-30 days</t>
        </is>
      </c>
      <c r="B57" s="12">
        <f>SUMIFS(Lines!$G:$G,Lines!$H:$H,"&gt;=0",Lines!$H:$H,"&lt;=30",Lines!$K:$K,"&lt;&gt;HOLD-TIMING")</f>
        <v/>
      </c>
      <c r="C57" s="10">
        <f>COUNTIFS(Lines!$H:$H,"&gt;=0",Lines!$H:$H,"&lt;=30",Lines!$K:$K,"&lt;&gt;HOLD-TIMING")</f>
        <v/>
      </c>
    </row>
    <row r="58">
      <c r="A58" s="3" t="inlineStr">
        <is>
          <t>31-60 days</t>
        </is>
      </c>
      <c r="B58" s="12">
        <f>SUMIFS(Lines!$G:$G,Lines!$H:$H,"&gt;=31",Lines!$H:$H,"&lt;=60",Lines!$K:$K,"&lt;&gt;HOLD-TIMING")</f>
        <v/>
      </c>
      <c r="C58" s="10">
        <f>COUNTIFS(Lines!$H:$H,"&gt;=31",Lines!$H:$H,"&lt;=60",Lines!$K:$K,"&lt;&gt;HOLD-TIMING")</f>
        <v/>
      </c>
    </row>
    <row r="59">
      <c r="A59" s="3" t="inlineStr">
        <is>
          <t>61-90 days</t>
        </is>
      </c>
      <c r="B59" s="12">
        <f>SUMIFS(Lines!$G:$G,Lines!$H:$H,"&gt;=61",Lines!$H:$H,"&lt;=90",Lines!$K:$K,"&lt;&gt;HOLD-TIMING")</f>
        <v/>
      </c>
      <c r="C59" s="10">
        <f>COUNTIFS(Lines!$H:$H,"&gt;=61",Lines!$H:$H,"&lt;=90",Lines!$K:$K,"&lt;&gt;HOLD-TIMING")</f>
        <v/>
      </c>
    </row>
    <row r="60">
      <c r="A60" s="3" t="inlineStr">
        <is>
          <t>Over 90 days</t>
        </is>
      </c>
      <c r="B60" s="12">
        <f>SUMIFS(Lines!$G:$G,Lines!$H:$H,"&gt;=91",Lines!$H:$H,"&lt;=1000000",Lines!$K:$K,"&lt;&gt;HOLD-TIMING")</f>
        <v/>
      </c>
      <c r="C60" s="10">
        <f>COUNTIFS(Lines!$H:$H,"&gt;=91",Lines!$H:$H,"&lt;=1000000",Lines!$K:$K,"&lt;&gt;HOLD-TIMING")</f>
        <v/>
      </c>
    </row>
    <row r="61">
      <c r="A61" s="5" t="inlineStr">
        <is>
          <t>Total unresolved</t>
        </is>
      </c>
      <c r="B61" s="16">
        <f>SUM(B57:B60)</f>
        <v/>
      </c>
      <c r="C61" s="10">
        <f>SUM(C57:C60)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40" customWidth="1" min="4" max="4"/>
    <col width="16" customWidth="1" min="5" max="5"/>
    <col width="15" customWidth="1" min="6" max="6"/>
    <col width="14" customWidth="1" min="7" max="7"/>
    <col width="11" customWidth="1" min="8" max="8"/>
    <col width="15" customWidth="1" min="9" max="9"/>
    <col width="21" customWidth="1" min="10" max="10"/>
    <col width="16" customWidth="1" min="11" max="11"/>
    <col width="14" customWidth="1" min="12" max="12"/>
    <col width="15" customWidth="1" min="13" max="13"/>
    <col width="44" customWidth="1" min="14" max="14"/>
    <col width="34" customWidth="1" min="15" max="15"/>
    <col width="13" customWidth="1" min="16" max="16"/>
  </cols>
  <sheetData>
    <row r="1">
      <c r="A1" s="2" t="inlineStr">
        <is>
          <t>Statement date</t>
        </is>
      </c>
      <c r="B1" s="2" t="inlineStr">
        <is>
          <t>Document date</t>
        </is>
      </c>
      <c r="C1" s="2" t="inlineStr">
        <is>
          <t>Document ref</t>
        </is>
      </c>
      <c r="D1" s="2" t="inlineStr">
        <is>
          <t>Description</t>
        </is>
      </c>
      <c r="E1" s="2" t="inlineStr">
        <is>
          <t>Statement amount</t>
        </is>
      </c>
      <c r="F1" s="2" t="inlineStr">
        <is>
          <t>Ledger amount</t>
        </is>
      </c>
      <c r="G1" s="2" t="inlineStr">
        <is>
          <t>Difference</t>
        </is>
      </c>
      <c r="H1" s="2" t="inlineStr">
        <is>
          <t>Age (days)</t>
        </is>
      </c>
      <c r="I1" s="2" t="inlineStr">
        <is>
          <t>Side</t>
        </is>
      </c>
      <c r="J1" s="2" t="inlineStr">
        <is>
          <t>Cause code</t>
        </is>
      </c>
      <c r="K1" s="2" t="inlineStr">
        <is>
          <t>Disposition</t>
        </is>
      </c>
      <c r="L1" s="2" t="inlineStr">
        <is>
          <t>Error owner</t>
        </is>
      </c>
      <c r="M1" s="2" t="inlineStr">
        <is>
          <t>Self-correcting</t>
        </is>
      </c>
      <c r="N1" s="2" t="inlineStr">
        <is>
          <t>KB reference</t>
        </is>
      </c>
      <c r="O1" s="2" t="inlineStr">
        <is>
          <t>Action taken</t>
        </is>
      </c>
      <c r="P1" s="2" t="inlineStr">
        <is>
          <t>Query raised</t>
        </is>
      </c>
    </row>
    <row r="2">
      <c r="A2" s="8" t="n"/>
      <c r="B2" s="8" t="n"/>
      <c r="C2" s="6" t="n"/>
      <c r="D2" s="6" t="n"/>
      <c r="E2" s="9" t="n"/>
      <c r="F2" s="9" t="n"/>
      <c r="G2" s="12">
        <f>IF(COUNT(E2:F2)=0,"",N(E2)-N(F2))</f>
        <v/>
      </c>
      <c r="H2" s="10">
        <f>IF(OR($B2="",Reconciliation!$B$5=""),"",Reconciliation!$B$5-$B2)</f>
        <v/>
      </c>
      <c r="I2" s="6" t="n"/>
      <c r="J2" s="6" t="n"/>
      <c r="K2" s="10">
        <f>IF($J2="","",VLOOKUP($J2,CauseCodes,5,FALSE))</f>
        <v/>
      </c>
      <c r="L2" s="10">
        <f>IF($J2="","",VLOOKUP($J2,CauseCodes,3,FALSE))</f>
        <v/>
      </c>
      <c r="M2" s="10">
        <f>IF($J2="","",VLOOKUP($J2,CauseCodes,4,FALSE))</f>
        <v/>
      </c>
      <c r="N2" s="10">
        <f>IF($J2="","",VLOOKUP($J2,CauseCodes,6,FALSE))</f>
        <v/>
      </c>
      <c r="O2" s="6" t="n"/>
      <c r="P2" s="6" t="n"/>
    </row>
    <row r="3">
      <c r="A3" s="8" t="n"/>
      <c r="B3" s="8" t="n"/>
      <c r="C3" s="6" t="n"/>
      <c r="D3" s="6" t="n"/>
      <c r="E3" s="9" t="n"/>
      <c r="F3" s="9" t="n"/>
      <c r="G3" s="12">
        <f>IF(COUNT(E3:F3)=0,"",N(E3)-N(F3))</f>
        <v/>
      </c>
      <c r="H3" s="10">
        <f>IF(OR($B3="",Reconciliation!$B$5=""),"",Reconciliation!$B$5-$B3)</f>
        <v/>
      </c>
      <c r="I3" s="6" t="n"/>
      <c r="J3" s="6" t="n"/>
      <c r="K3" s="10">
        <f>IF($J3="","",VLOOKUP($J3,CauseCodes,5,FALSE))</f>
        <v/>
      </c>
      <c r="L3" s="10">
        <f>IF($J3="","",VLOOKUP($J3,CauseCodes,3,FALSE))</f>
        <v/>
      </c>
      <c r="M3" s="10">
        <f>IF($J3="","",VLOOKUP($J3,CauseCodes,4,FALSE))</f>
        <v/>
      </c>
      <c r="N3" s="10">
        <f>IF($J3="","",VLOOKUP($J3,CauseCodes,6,FALSE))</f>
        <v/>
      </c>
      <c r="O3" s="6" t="n"/>
      <c r="P3" s="6" t="n"/>
    </row>
    <row r="4">
      <c r="A4" s="8" t="n"/>
      <c r="B4" s="8" t="n"/>
      <c r="C4" s="6" t="n"/>
      <c r="D4" s="6" t="n"/>
      <c r="E4" s="9" t="n"/>
      <c r="F4" s="9" t="n"/>
      <c r="G4" s="12">
        <f>IF(COUNT(E4:F4)=0,"",N(E4)-N(F4))</f>
        <v/>
      </c>
      <c r="H4" s="10">
        <f>IF(OR($B4="",Reconciliation!$B$5=""),"",Reconciliation!$B$5-$B4)</f>
        <v/>
      </c>
      <c r="I4" s="6" t="n"/>
      <c r="J4" s="6" t="n"/>
      <c r="K4" s="10">
        <f>IF($J4="","",VLOOKUP($J4,CauseCodes,5,FALSE))</f>
        <v/>
      </c>
      <c r="L4" s="10">
        <f>IF($J4="","",VLOOKUP($J4,CauseCodes,3,FALSE))</f>
        <v/>
      </c>
      <c r="M4" s="10">
        <f>IF($J4="","",VLOOKUP($J4,CauseCodes,4,FALSE))</f>
        <v/>
      </c>
      <c r="N4" s="10">
        <f>IF($J4="","",VLOOKUP($J4,CauseCodes,6,FALSE))</f>
        <v/>
      </c>
      <c r="O4" s="6" t="n"/>
      <c r="P4" s="6" t="n"/>
    </row>
    <row r="5">
      <c r="A5" s="8" t="n"/>
      <c r="B5" s="8" t="n"/>
      <c r="C5" s="6" t="n"/>
      <c r="D5" s="6" t="n"/>
      <c r="E5" s="9" t="n"/>
      <c r="F5" s="9" t="n"/>
      <c r="G5" s="12">
        <f>IF(COUNT(E5:F5)=0,"",N(E5)-N(F5))</f>
        <v/>
      </c>
      <c r="H5" s="10">
        <f>IF(OR($B5="",Reconciliation!$B$5=""),"",Reconciliation!$B$5-$B5)</f>
        <v/>
      </c>
      <c r="I5" s="6" t="n"/>
      <c r="J5" s="6" t="n"/>
      <c r="K5" s="10">
        <f>IF($J5="","",VLOOKUP($J5,CauseCodes,5,FALSE))</f>
        <v/>
      </c>
      <c r="L5" s="10">
        <f>IF($J5="","",VLOOKUP($J5,CauseCodes,3,FALSE))</f>
        <v/>
      </c>
      <c r="M5" s="10">
        <f>IF($J5="","",VLOOKUP($J5,CauseCodes,4,FALSE))</f>
        <v/>
      </c>
      <c r="N5" s="10">
        <f>IF($J5="","",VLOOKUP($J5,CauseCodes,6,FALSE))</f>
        <v/>
      </c>
      <c r="O5" s="6" t="n"/>
      <c r="P5" s="6" t="n"/>
    </row>
    <row r="6">
      <c r="A6" s="8" t="n"/>
      <c r="B6" s="8" t="n"/>
      <c r="C6" s="6" t="n"/>
      <c r="D6" s="6" t="n"/>
      <c r="E6" s="9" t="n"/>
      <c r="F6" s="9" t="n"/>
      <c r="G6" s="12">
        <f>IF(COUNT(E6:F6)=0,"",N(E6)-N(F6))</f>
        <v/>
      </c>
      <c r="H6" s="10">
        <f>IF(OR($B6="",Reconciliation!$B$5=""),"",Reconciliation!$B$5-$B6)</f>
        <v/>
      </c>
      <c r="I6" s="6" t="n"/>
      <c r="J6" s="6" t="n"/>
      <c r="K6" s="10">
        <f>IF($J6="","",VLOOKUP($J6,CauseCodes,5,FALSE))</f>
        <v/>
      </c>
      <c r="L6" s="10">
        <f>IF($J6="","",VLOOKUP($J6,CauseCodes,3,FALSE))</f>
        <v/>
      </c>
      <c r="M6" s="10">
        <f>IF($J6="","",VLOOKUP($J6,CauseCodes,4,FALSE))</f>
        <v/>
      </c>
      <c r="N6" s="10">
        <f>IF($J6="","",VLOOKUP($J6,CauseCodes,6,FALSE))</f>
        <v/>
      </c>
      <c r="O6" s="6" t="n"/>
      <c r="P6" s="6" t="n"/>
    </row>
    <row r="7">
      <c r="A7" s="8" t="n"/>
      <c r="B7" s="8" t="n"/>
      <c r="C7" s="6" t="n"/>
      <c r="D7" s="6" t="n"/>
      <c r="E7" s="9" t="n"/>
      <c r="F7" s="9" t="n"/>
      <c r="G7" s="12">
        <f>IF(COUNT(E7:F7)=0,"",N(E7)-N(F7))</f>
        <v/>
      </c>
      <c r="H7" s="10">
        <f>IF(OR($B7="",Reconciliation!$B$5=""),"",Reconciliation!$B$5-$B7)</f>
        <v/>
      </c>
      <c r="I7" s="6" t="n"/>
      <c r="J7" s="6" t="n"/>
      <c r="K7" s="10">
        <f>IF($J7="","",VLOOKUP($J7,CauseCodes,5,FALSE))</f>
        <v/>
      </c>
      <c r="L7" s="10">
        <f>IF($J7="","",VLOOKUP($J7,CauseCodes,3,FALSE))</f>
        <v/>
      </c>
      <c r="M7" s="10">
        <f>IF($J7="","",VLOOKUP($J7,CauseCodes,4,FALSE))</f>
        <v/>
      </c>
      <c r="N7" s="10">
        <f>IF($J7="","",VLOOKUP($J7,CauseCodes,6,FALSE))</f>
        <v/>
      </c>
      <c r="O7" s="6" t="n"/>
      <c r="P7" s="6" t="n"/>
    </row>
    <row r="8">
      <c r="A8" s="8" t="n"/>
      <c r="B8" s="8" t="n"/>
      <c r="C8" s="6" t="n"/>
      <c r="D8" s="6" t="n"/>
      <c r="E8" s="9" t="n"/>
      <c r="F8" s="9" t="n"/>
      <c r="G8" s="12">
        <f>IF(COUNT(E8:F8)=0,"",N(E8)-N(F8))</f>
        <v/>
      </c>
      <c r="H8" s="10">
        <f>IF(OR($B8="",Reconciliation!$B$5=""),"",Reconciliation!$B$5-$B8)</f>
        <v/>
      </c>
      <c r="I8" s="6" t="n"/>
      <c r="J8" s="6" t="n"/>
      <c r="K8" s="10">
        <f>IF($J8="","",VLOOKUP($J8,CauseCodes,5,FALSE))</f>
        <v/>
      </c>
      <c r="L8" s="10">
        <f>IF($J8="","",VLOOKUP($J8,CauseCodes,3,FALSE))</f>
        <v/>
      </c>
      <c r="M8" s="10">
        <f>IF($J8="","",VLOOKUP($J8,CauseCodes,4,FALSE))</f>
        <v/>
      </c>
      <c r="N8" s="10">
        <f>IF($J8="","",VLOOKUP($J8,CauseCodes,6,FALSE))</f>
        <v/>
      </c>
      <c r="O8" s="6" t="n"/>
      <c r="P8" s="6" t="n"/>
    </row>
    <row r="9">
      <c r="A9" s="8" t="n"/>
      <c r="B9" s="8" t="n"/>
      <c r="C9" s="6" t="n"/>
      <c r="D9" s="6" t="n"/>
      <c r="E9" s="9" t="n"/>
      <c r="F9" s="9" t="n"/>
      <c r="G9" s="12">
        <f>IF(COUNT(E9:F9)=0,"",N(E9)-N(F9))</f>
        <v/>
      </c>
      <c r="H9" s="10">
        <f>IF(OR($B9="",Reconciliation!$B$5=""),"",Reconciliation!$B$5-$B9)</f>
        <v/>
      </c>
      <c r="I9" s="6" t="n"/>
      <c r="J9" s="6" t="n"/>
      <c r="K9" s="10">
        <f>IF($J9="","",VLOOKUP($J9,CauseCodes,5,FALSE))</f>
        <v/>
      </c>
      <c r="L9" s="10">
        <f>IF($J9="","",VLOOKUP($J9,CauseCodes,3,FALSE))</f>
        <v/>
      </c>
      <c r="M9" s="10">
        <f>IF($J9="","",VLOOKUP($J9,CauseCodes,4,FALSE))</f>
        <v/>
      </c>
      <c r="N9" s="10">
        <f>IF($J9="","",VLOOKUP($J9,CauseCodes,6,FALSE))</f>
        <v/>
      </c>
      <c r="O9" s="6" t="n"/>
      <c r="P9" s="6" t="n"/>
    </row>
    <row r="10">
      <c r="A10" s="8" t="n"/>
      <c r="B10" s="8" t="n"/>
      <c r="C10" s="6" t="n"/>
      <c r="D10" s="6" t="n"/>
      <c r="E10" s="9" t="n"/>
      <c r="F10" s="9" t="n"/>
      <c r="G10" s="12">
        <f>IF(COUNT(E10:F10)=0,"",N(E10)-N(F10))</f>
        <v/>
      </c>
      <c r="H10" s="10">
        <f>IF(OR($B10="",Reconciliation!$B$5=""),"",Reconciliation!$B$5-$B10)</f>
        <v/>
      </c>
      <c r="I10" s="6" t="n"/>
      <c r="J10" s="6" t="n"/>
      <c r="K10" s="10">
        <f>IF($J10="","",VLOOKUP($J10,CauseCodes,5,FALSE))</f>
        <v/>
      </c>
      <c r="L10" s="10">
        <f>IF($J10="","",VLOOKUP($J10,CauseCodes,3,FALSE))</f>
        <v/>
      </c>
      <c r="M10" s="10">
        <f>IF($J10="","",VLOOKUP($J10,CauseCodes,4,FALSE))</f>
        <v/>
      </c>
      <c r="N10" s="10">
        <f>IF($J10="","",VLOOKUP($J10,CauseCodes,6,FALSE))</f>
        <v/>
      </c>
      <c r="O10" s="6" t="n"/>
      <c r="P10" s="6" t="n"/>
    </row>
    <row r="11">
      <c r="A11" s="8" t="n"/>
      <c r="B11" s="8" t="n"/>
      <c r="C11" s="6" t="n"/>
      <c r="D11" s="6" t="n"/>
      <c r="E11" s="9" t="n"/>
      <c r="F11" s="9" t="n"/>
      <c r="G11" s="12">
        <f>IF(COUNT(E11:F11)=0,"",N(E11)-N(F11))</f>
        <v/>
      </c>
      <c r="H11" s="10">
        <f>IF(OR($B11="",Reconciliation!$B$5=""),"",Reconciliation!$B$5-$B11)</f>
        <v/>
      </c>
      <c r="I11" s="6" t="n"/>
      <c r="J11" s="6" t="n"/>
      <c r="K11" s="10">
        <f>IF($J11="","",VLOOKUP($J11,CauseCodes,5,FALSE))</f>
        <v/>
      </c>
      <c r="L11" s="10">
        <f>IF($J11="","",VLOOKUP($J11,CauseCodes,3,FALSE))</f>
        <v/>
      </c>
      <c r="M11" s="10">
        <f>IF($J11="","",VLOOKUP($J11,CauseCodes,4,FALSE))</f>
        <v/>
      </c>
      <c r="N11" s="10">
        <f>IF($J11="","",VLOOKUP($J11,CauseCodes,6,FALSE))</f>
        <v/>
      </c>
      <c r="O11" s="6" t="n"/>
      <c r="P11" s="6" t="n"/>
    </row>
    <row r="12">
      <c r="A12" s="8" t="n"/>
      <c r="B12" s="8" t="n"/>
      <c r="C12" s="6" t="n"/>
      <c r="D12" s="6" t="n"/>
      <c r="E12" s="9" t="n"/>
      <c r="F12" s="9" t="n"/>
      <c r="G12" s="12">
        <f>IF(COUNT(E12:F12)=0,"",N(E12)-N(F12))</f>
        <v/>
      </c>
      <c r="H12" s="10">
        <f>IF(OR($B12="",Reconciliation!$B$5=""),"",Reconciliation!$B$5-$B12)</f>
        <v/>
      </c>
      <c r="I12" s="6" t="n"/>
      <c r="J12" s="6" t="n"/>
      <c r="K12" s="10">
        <f>IF($J12="","",VLOOKUP($J12,CauseCodes,5,FALSE))</f>
        <v/>
      </c>
      <c r="L12" s="10">
        <f>IF($J12="","",VLOOKUP($J12,CauseCodes,3,FALSE))</f>
        <v/>
      </c>
      <c r="M12" s="10">
        <f>IF($J12="","",VLOOKUP($J12,CauseCodes,4,FALSE))</f>
        <v/>
      </c>
      <c r="N12" s="10">
        <f>IF($J12="","",VLOOKUP($J12,CauseCodes,6,FALSE))</f>
        <v/>
      </c>
      <c r="O12" s="6" t="n"/>
      <c r="P12" s="6" t="n"/>
    </row>
    <row r="13">
      <c r="A13" s="8" t="n"/>
      <c r="B13" s="8" t="n"/>
      <c r="C13" s="6" t="n"/>
      <c r="D13" s="6" t="n"/>
      <c r="E13" s="9" t="n"/>
      <c r="F13" s="9" t="n"/>
      <c r="G13" s="12">
        <f>IF(COUNT(E13:F13)=0,"",N(E13)-N(F13))</f>
        <v/>
      </c>
      <c r="H13" s="10">
        <f>IF(OR($B13="",Reconciliation!$B$5=""),"",Reconciliation!$B$5-$B13)</f>
        <v/>
      </c>
      <c r="I13" s="6" t="n"/>
      <c r="J13" s="6" t="n"/>
      <c r="K13" s="10">
        <f>IF($J13="","",VLOOKUP($J13,CauseCodes,5,FALSE))</f>
        <v/>
      </c>
      <c r="L13" s="10">
        <f>IF($J13="","",VLOOKUP($J13,CauseCodes,3,FALSE))</f>
        <v/>
      </c>
      <c r="M13" s="10">
        <f>IF($J13="","",VLOOKUP($J13,CauseCodes,4,FALSE))</f>
        <v/>
      </c>
      <c r="N13" s="10">
        <f>IF($J13="","",VLOOKUP($J13,CauseCodes,6,FALSE))</f>
        <v/>
      </c>
      <c r="O13" s="6" t="n"/>
      <c r="P13" s="6" t="n"/>
    </row>
    <row r="14">
      <c r="A14" s="8" t="n"/>
      <c r="B14" s="8" t="n"/>
      <c r="C14" s="6" t="n"/>
      <c r="D14" s="6" t="n"/>
      <c r="E14" s="9" t="n"/>
      <c r="F14" s="9" t="n"/>
      <c r="G14" s="12">
        <f>IF(COUNT(E14:F14)=0,"",N(E14)-N(F14))</f>
        <v/>
      </c>
      <c r="H14" s="10">
        <f>IF(OR($B14="",Reconciliation!$B$5=""),"",Reconciliation!$B$5-$B14)</f>
        <v/>
      </c>
      <c r="I14" s="6" t="n"/>
      <c r="J14" s="6" t="n"/>
      <c r="K14" s="10">
        <f>IF($J14="","",VLOOKUP($J14,CauseCodes,5,FALSE))</f>
        <v/>
      </c>
      <c r="L14" s="10">
        <f>IF($J14="","",VLOOKUP($J14,CauseCodes,3,FALSE))</f>
        <v/>
      </c>
      <c r="M14" s="10">
        <f>IF($J14="","",VLOOKUP($J14,CauseCodes,4,FALSE))</f>
        <v/>
      </c>
      <c r="N14" s="10">
        <f>IF($J14="","",VLOOKUP($J14,CauseCodes,6,FALSE))</f>
        <v/>
      </c>
      <c r="O14" s="6" t="n"/>
      <c r="P14" s="6" t="n"/>
    </row>
    <row r="15">
      <c r="A15" s="8" t="n"/>
      <c r="B15" s="8" t="n"/>
      <c r="C15" s="6" t="n"/>
      <c r="D15" s="6" t="n"/>
      <c r="E15" s="9" t="n"/>
      <c r="F15" s="9" t="n"/>
      <c r="G15" s="12">
        <f>IF(COUNT(E15:F15)=0,"",N(E15)-N(F15))</f>
        <v/>
      </c>
      <c r="H15" s="10">
        <f>IF(OR($B15="",Reconciliation!$B$5=""),"",Reconciliation!$B$5-$B15)</f>
        <v/>
      </c>
      <c r="I15" s="6" t="n"/>
      <c r="J15" s="6" t="n"/>
      <c r="K15" s="10">
        <f>IF($J15="","",VLOOKUP($J15,CauseCodes,5,FALSE))</f>
        <v/>
      </c>
      <c r="L15" s="10">
        <f>IF($J15="","",VLOOKUP($J15,CauseCodes,3,FALSE))</f>
        <v/>
      </c>
      <c r="M15" s="10">
        <f>IF($J15="","",VLOOKUP($J15,CauseCodes,4,FALSE))</f>
        <v/>
      </c>
      <c r="N15" s="10">
        <f>IF($J15="","",VLOOKUP($J15,CauseCodes,6,FALSE))</f>
        <v/>
      </c>
      <c r="O15" s="6" t="n"/>
      <c r="P15" s="6" t="n"/>
    </row>
    <row r="16">
      <c r="A16" s="8" t="n"/>
      <c r="B16" s="8" t="n"/>
      <c r="C16" s="6" t="n"/>
      <c r="D16" s="6" t="n"/>
      <c r="E16" s="9" t="n"/>
      <c r="F16" s="9" t="n"/>
      <c r="G16" s="12">
        <f>IF(COUNT(E16:F16)=0,"",N(E16)-N(F16))</f>
        <v/>
      </c>
      <c r="H16" s="10">
        <f>IF(OR($B16="",Reconciliation!$B$5=""),"",Reconciliation!$B$5-$B16)</f>
        <v/>
      </c>
      <c r="I16" s="6" t="n"/>
      <c r="J16" s="6" t="n"/>
      <c r="K16" s="10">
        <f>IF($J16="","",VLOOKUP($J16,CauseCodes,5,FALSE))</f>
        <v/>
      </c>
      <c r="L16" s="10">
        <f>IF($J16="","",VLOOKUP($J16,CauseCodes,3,FALSE))</f>
        <v/>
      </c>
      <c r="M16" s="10">
        <f>IF($J16="","",VLOOKUP($J16,CauseCodes,4,FALSE))</f>
        <v/>
      </c>
      <c r="N16" s="10">
        <f>IF($J16="","",VLOOKUP($J16,CauseCodes,6,FALSE))</f>
        <v/>
      </c>
      <c r="O16" s="6" t="n"/>
      <c r="P16" s="6" t="n"/>
    </row>
    <row r="17">
      <c r="A17" s="8" t="n"/>
      <c r="B17" s="8" t="n"/>
      <c r="C17" s="6" t="n"/>
      <c r="D17" s="6" t="n"/>
      <c r="E17" s="9" t="n"/>
      <c r="F17" s="9" t="n"/>
      <c r="G17" s="12">
        <f>IF(COUNT(E17:F17)=0,"",N(E17)-N(F17))</f>
        <v/>
      </c>
      <c r="H17" s="10">
        <f>IF(OR($B17="",Reconciliation!$B$5=""),"",Reconciliation!$B$5-$B17)</f>
        <v/>
      </c>
      <c r="I17" s="6" t="n"/>
      <c r="J17" s="6" t="n"/>
      <c r="K17" s="10">
        <f>IF($J17="","",VLOOKUP($J17,CauseCodes,5,FALSE))</f>
        <v/>
      </c>
      <c r="L17" s="10">
        <f>IF($J17="","",VLOOKUP($J17,CauseCodes,3,FALSE))</f>
        <v/>
      </c>
      <c r="M17" s="10">
        <f>IF($J17="","",VLOOKUP($J17,CauseCodes,4,FALSE))</f>
        <v/>
      </c>
      <c r="N17" s="10">
        <f>IF($J17="","",VLOOKUP($J17,CauseCodes,6,FALSE))</f>
        <v/>
      </c>
      <c r="O17" s="6" t="n"/>
      <c r="P17" s="6" t="n"/>
    </row>
    <row r="18">
      <c r="A18" s="8" t="n"/>
      <c r="B18" s="8" t="n"/>
      <c r="C18" s="6" t="n"/>
      <c r="D18" s="6" t="n"/>
      <c r="E18" s="9" t="n"/>
      <c r="F18" s="9" t="n"/>
      <c r="G18" s="12">
        <f>IF(COUNT(E18:F18)=0,"",N(E18)-N(F18))</f>
        <v/>
      </c>
      <c r="H18" s="10">
        <f>IF(OR($B18="",Reconciliation!$B$5=""),"",Reconciliation!$B$5-$B18)</f>
        <v/>
      </c>
      <c r="I18" s="6" t="n"/>
      <c r="J18" s="6" t="n"/>
      <c r="K18" s="10">
        <f>IF($J18="","",VLOOKUP($J18,CauseCodes,5,FALSE))</f>
        <v/>
      </c>
      <c r="L18" s="10">
        <f>IF($J18="","",VLOOKUP($J18,CauseCodes,3,FALSE))</f>
        <v/>
      </c>
      <c r="M18" s="10">
        <f>IF($J18="","",VLOOKUP($J18,CauseCodes,4,FALSE))</f>
        <v/>
      </c>
      <c r="N18" s="10">
        <f>IF($J18="","",VLOOKUP($J18,CauseCodes,6,FALSE))</f>
        <v/>
      </c>
      <c r="O18" s="6" t="n"/>
      <c r="P18" s="6" t="n"/>
    </row>
    <row r="19">
      <c r="A19" s="8" t="n"/>
      <c r="B19" s="8" t="n"/>
      <c r="C19" s="6" t="n"/>
      <c r="D19" s="6" t="n"/>
      <c r="E19" s="9" t="n"/>
      <c r="F19" s="9" t="n"/>
      <c r="G19" s="12">
        <f>IF(COUNT(E19:F19)=0,"",N(E19)-N(F19))</f>
        <v/>
      </c>
      <c r="H19" s="10">
        <f>IF(OR($B19="",Reconciliation!$B$5=""),"",Reconciliation!$B$5-$B19)</f>
        <v/>
      </c>
      <c r="I19" s="6" t="n"/>
      <c r="J19" s="6" t="n"/>
      <c r="K19" s="10">
        <f>IF($J19="","",VLOOKUP($J19,CauseCodes,5,FALSE))</f>
        <v/>
      </c>
      <c r="L19" s="10">
        <f>IF($J19="","",VLOOKUP($J19,CauseCodes,3,FALSE))</f>
        <v/>
      </c>
      <c r="M19" s="10">
        <f>IF($J19="","",VLOOKUP($J19,CauseCodes,4,FALSE))</f>
        <v/>
      </c>
      <c r="N19" s="10">
        <f>IF($J19="","",VLOOKUP($J19,CauseCodes,6,FALSE))</f>
        <v/>
      </c>
      <c r="O19" s="6" t="n"/>
      <c r="P19" s="6" t="n"/>
    </row>
    <row r="20">
      <c r="A20" s="8" t="n"/>
      <c r="B20" s="8" t="n"/>
      <c r="C20" s="6" t="n"/>
      <c r="D20" s="6" t="n"/>
      <c r="E20" s="9" t="n"/>
      <c r="F20" s="9" t="n"/>
      <c r="G20" s="12">
        <f>IF(COUNT(E20:F20)=0,"",N(E20)-N(F20))</f>
        <v/>
      </c>
      <c r="H20" s="10">
        <f>IF(OR($B20="",Reconciliation!$B$5=""),"",Reconciliation!$B$5-$B20)</f>
        <v/>
      </c>
      <c r="I20" s="6" t="n"/>
      <c r="J20" s="6" t="n"/>
      <c r="K20" s="10">
        <f>IF($J20="","",VLOOKUP($J20,CauseCodes,5,FALSE))</f>
        <v/>
      </c>
      <c r="L20" s="10">
        <f>IF($J20="","",VLOOKUP($J20,CauseCodes,3,FALSE))</f>
        <v/>
      </c>
      <c r="M20" s="10">
        <f>IF($J20="","",VLOOKUP($J20,CauseCodes,4,FALSE))</f>
        <v/>
      </c>
      <c r="N20" s="10">
        <f>IF($J20="","",VLOOKUP($J20,CauseCodes,6,FALSE))</f>
        <v/>
      </c>
      <c r="O20" s="6" t="n"/>
      <c r="P20" s="6" t="n"/>
    </row>
    <row r="21">
      <c r="A21" s="8" t="n"/>
      <c r="B21" s="8" t="n"/>
      <c r="C21" s="6" t="n"/>
      <c r="D21" s="6" t="n"/>
      <c r="E21" s="9" t="n"/>
      <c r="F21" s="9" t="n"/>
      <c r="G21" s="12">
        <f>IF(COUNT(E21:F21)=0,"",N(E21)-N(F21))</f>
        <v/>
      </c>
      <c r="H21" s="10">
        <f>IF(OR($B21="",Reconciliation!$B$5=""),"",Reconciliation!$B$5-$B21)</f>
        <v/>
      </c>
      <c r="I21" s="6" t="n"/>
      <c r="J21" s="6" t="n"/>
      <c r="K21" s="10">
        <f>IF($J21="","",VLOOKUP($J21,CauseCodes,5,FALSE))</f>
        <v/>
      </c>
      <c r="L21" s="10">
        <f>IF($J21="","",VLOOKUP($J21,CauseCodes,3,FALSE))</f>
        <v/>
      </c>
      <c r="M21" s="10">
        <f>IF($J21="","",VLOOKUP($J21,CauseCodes,4,FALSE))</f>
        <v/>
      </c>
      <c r="N21" s="10">
        <f>IF($J21="","",VLOOKUP($J21,CauseCodes,6,FALSE))</f>
        <v/>
      </c>
      <c r="O21" s="6" t="n"/>
      <c r="P21" s="6" t="n"/>
    </row>
    <row r="22">
      <c r="A22" s="8" t="n"/>
      <c r="B22" s="8" t="n"/>
      <c r="C22" s="6" t="n"/>
      <c r="D22" s="6" t="n"/>
      <c r="E22" s="9" t="n"/>
      <c r="F22" s="9" t="n"/>
      <c r="G22" s="12">
        <f>IF(COUNT(E22:F22)=0,"",N(E22)-N(F22))</f>
        <v/>
      </c>
      <c r="H22" s="10">
        <f>IF(OR($B22="",Reconciliation!$B$5=""),"",Reconciliation!$B$5-$B22)</f>
        <v/>
      </c>
      <c r="I22" s="6" t="n"/>
      <c r="J22" s="6" t="n"/>
      <c r="K22" s="10">
        <f>IF($J22="","",VLOOKUP($J22,CauseCodes,5,FALSE))</f>
        <v/>
      </c>
      <c r="L22" s="10">
        <f>IF($J22="","",VLOOKUP($J22,CauseCodes,3,FALSE))</f>
        <v/>
      </c>
      <c r="M22" s="10">
        <f>IF($J22="","",VLOOKUP($J22,CauseCodes,4,FALSE))</f>
        <v/>
      </c>
      <c r="N22" s="10">
        <f>IF($J22="","",VLOOKUP($J22,CauseCodes,6,FALSE))</f>
        <v/>
      </c>
      <c r="O22" s="6" t="n"/>
      <c r="P22" s="6" t="n"/>
    </row>
    <row r="23">
      <c r="A23" s="8" t="n"/>
      <c r="B23" s="8" t="n"/>
      <c r="C23" s="6" t="n"/>
      <c r="D23" s="6" t="n"/>
      <c r="E23" s="9" t="n"/>
      <c r="F23" s="9" t="n"/>
      <c r="G23" s="12">
        <f>IF(COUNT(E23:F23)=0,"",N(E23)-N(F23))</f>
        <v/>
      </c>
      <c r="H23" s="10">
        <f>IF(OR($B23="",Reconciliation!$B$5=""),"",Reconciliation!$B$5-$B23)</f>
        <v/>
      </c>
      <c r="I23" s="6" t="n"/>
      <c r="J23" s="6" t="n"/>
      <c r="K23" s="10">
        <f>IF($J23="","",VLOOKUP($J23,CauseCodes,5,FALSE))</f>
        <v/>
      </c>
      <c r="L23" s="10">
        <f>IF($J23="","",VLOOKUP($J23,CauseCodes,3,FALSE))</f>
        <v/>
      </c>
      <c r="M23" s="10">
        <f>IF($J23="","",VLOOKUP($J23,CauseCodes,4,FALSE))</f>
        <v/>
      </c>
      <c r="N23" s="10">
        <f>IF($J23="","",VLOOKUP($J23,CauseCodes,6,FALSE))</f>
        <v/>
      </c>
      <c r="O23" s="6" t="n"/>
      <c r="P23" s="6" t="n"/>
    </row>
    <row r="24">
      <c r="A24" s="8" t="n"/>
      <c r="B24" s="8" t="n"/>
      <c r="C24" s="6" t="n"/>
      <c r="D24" s="6" t="n"/>
      <c r="E24" s="9" t="n"/>
      <c r="F24" s="9" t="n"/>
      <c r="G24" s="12">
        <f>IF(COUNT(E24:F24)=0,"",N(E24)-N(F24))</f>
        <v/>
      </c>
      <c r="H24" s="10">
        <f>IF(OR($B24="",Reconciliation!$B$5=""),"",Reconciliation!$B$5-$B24)</f>
        <v/>
      </c>
      <c r="I24" s="6" t="n"/>
      <c r="J24" s="6" t="n"/>
      <c r="K24" s="10">
        <f>IF($J24="","",VLOOKUP($J24,CauseCodes,5,FALSE))</f>
        <v/>
      </c>
      <c r="L24" s="10">
        <f>IF($J24="","",VLOOKUP($J24,CauseCodes,3,FALSE))</f>
        <v/>
      </c>
      <c r="M24" s="10">
        <f>IF($J24="","",VLOOKUP($J24,CauseCodes,4,FALSE))</f>
        <v/>
      </c>
      <c r="N24" s="10">
        <f>IF($J24="","",VLOOKUP($J24,CauseCodes,6,FALSE))</f>
        <v/>
      </c>
      <c r="O24" s="6" t="n"/>
      <c r="P24" s="6" t="n"/>
    </row>
    <row r="25">
      <c r="A25" s="8" t="n"/>
      <c r="B25" s="8" t="n"/>
      <c r="C25" s="6" t="n"/>
      <c r="D25" s="6" t="n"/>
      <c r="E25" s="9" t="n"/>
      <c r="F25" s="9" t="n"/>
      <c r="G25" s="12">
        <f>IF(COUNT(E25:F25)=0,"",N(E25)-N(F25))</f>
        <v/>
      </c>
      <c r="H25" s="10">
        <f>IF(OR($B25="",Reconciliation!$B$5=""),"",Reconciliation!$B$5-$B25)</f>
        <v/>
      </c>
      <c r="I25" s="6" t="n"/>
      <c r="J25" s="6" t="n"/>
      <c r="K25" s="10">
        <f>IF($J25="","",VLOOKUP($J25,CauseCodes,5,FALSE))</f>
        <v/>
      </c>
      <c r="L25" s="10">
        <f>IF($J25="","",VLOOKUP($J25,CauseCodes,3,FALSE))</f>
        <v/>
      </c>
      <c r="M25" s="10">
        <f>IF($J25="","",VLOOKUP($J25,CauseCodes,4,FALSE))</f>
        <v/>
      </c>
      <c r="N25" s="10">
        <f>IF($J25="","",VLOOKUP($J25,CauseCodes,6,FALSE))</f>
        <v/>
      </c>
      <c r="O25" s="6" t="n"/>
      <c r="P25" s="6" t="n"/>
    </row>
    <row r="26">
      <c r="A26" s="8" t="n"/>
      <c r="B26" s="8" t="n"/>
      <c r="C26" s="6" t="n"/>
      <c r="D26" s="6" t="n"/>
      <c r="E26" s="9" t="n"/>
      <c r="F26" s="9" t="n"/>
      <c r="G26" s="12">
        <f>IF(COUNT(E26:F26)=0,"",N(E26)-N(F26))</f>
        <v/>
      </c>
      <c r="H26" s="10">
        <f>IF(OR($B26="",Reconciliation!$B$5=""),"",Reconciliation!$B$5-$B26)</f>
        <v/>
      </c>
      <c r="I26" s="6" t="n"/>
      <c r="J26" s="6" t="n"/>
      <c r="K26" s="10">
        <f>IF($J26="","",VLOOKUP($J26,CauseCodes,5,FALSE))</f>
        <v/>
      </c>
      <c r="L26" s="10">
        <f>IF($J26="","",VLOOKUP($J26,CauseCodes,3,FALSE))</f>
        <v/>
      </c>
      <c r="M26" s="10">
        <f>IF($J26="","",VLOOKUP($J26,CauseCodes,4,FALSE))</f>
        <v/>
      </c>
      <c r="N26" s="10">
        <f>IF($J26="","",VLOOKUP($J26,CauseCodes,6,FALSE))</f>
        <v/>
      </c>
      <c r="O26" s="6" t="n"/>
      <c r="P26" s="6" t="n"/>
    </row>
    <row r="27">
      <c r="A27" s="8" t="n"/>
      <c r="B27" s="8" t="n"/>
      <c r="C27" s="6" t="n"/>
      <c r="D27" s="6" t="n"/>
      <c r="E27" s="9" t="n"/>
      <c r="F27" s="9" t="n"/>
      <c r="G27" s="12">
        <f>IF(COUNT(E27:F27)=0,"",N(E27)-N(F27))</f>
        <v/>
      </c>
      <c r="H27" s="10">
        <f>IF(OR($B27="",Reconciliation!$B$5=""),"",Reconciliation!$B$5-$B27)</f>
        <v/>
      </c>
      <c r="I27" s="6" t="n"/>
      <c r="J27" s="6" t="n"/>
      <c r="K27" s="10">
        <f>IF($J27="","",VLOOKUP($J27,CauseCodes,5,FALSE))</f>
        <v/>
      </c>
      <c r="L27" s="10">
        <f>IF($J27="","",VLOOKUP($J27,CauseCodes,3,FALSE))</f>
        <v/>
      </c>
      <c r="M27" s="10">
        <f>IF($J27="","",VLOOKUP($J27,CauseCodes,4,FALSE))</f>
        <v/>
      </c>
      <c r="N27" s="10">
        <f>IF($J27="","",VLOOKUP($J27,CauseCodes,6,FALSE))</f>
        <v/>
      </c>
      <c r="O27" s="6" t="n"/>
      <c r="P27" s="6" t="n"/>
    </row>
    <row r="28">
      <c r="A28" s="8" t="n"/>
      <c r="B28" s="8" t="n"/>
      <c r="C28" s="6" t="n"/>
      <c r="D28" s="6" t="n"/>
      <c r="E28" s="9" t="n"/>
      <c r="F28" s="9" t="n"/>
      <c r="G28" s="12">
        <f>IF(COUNT(E28:F28)=0,"",N(E28)-N(F28))</f>
        <v/>
      </c>
      <c r="H28" s="10">
        <f>IF(OR($B28="",Reconciliation!$B$5=""),"",Reconciliation!$B$5-$B28)</f>
        <v/>
      </c>
      <c r="I28" s="6" t="n"/>
      <c r="J28" s="6" t="n"/>
      <c r="K28" s="10">
        <f>IF($J28="","",VLOOKUP($J28,CauseCodes,5,FALSE))</f>
        <v/>
      </c>
      <c r="L28" s="10">
        <f>IF($J28="","",VLOOKUP($J28,CauseCodes,3,FALSE))</f>
        <v/>
      </c>
      <c r="M28" s="10">
        <f>IF($J28="","",VLOOKUP($J28,CauseCodes,4,FALSE))</f>
        <v/>
      </c>
      <c r="N28" s="10">
        <f>IF($J28="","",VLOOKUP($J28,CauseCodes,6,FALSE))</f>
        <v/>
      </c>
      <c r="O28" s="6" t="n"/>
      <c r="P28" s="6" t="n"/>
    </row>
    <row r="29">
      <c r="A29" s="8" t="n"/>
      <c r="B29" s="8" t="n"/>
      <c r="C29" s="6" t="n"/>
      <c r="D29" s="6" t="n"/>
      <c r="E29" s="9" t="n"/>
      <c r="F29" s="9" t="n"/>
      <c r="G29" s="12">
        <f>IF(COUNT(E29:F29)=0,"",N(E29)-N(F29))</f>
        <v/>
      </c>
      <c r="H29" s="10">
        <f>IF(OR($B29="",Reconciliation!$B$5=""),"",Reconciliation!$B$5-$B29)</f>
        <v/>
      </c>
      <c r="I29" s="6" t="n"/>
      <c r="J29" s="6" t="n"/>
      <c r="K29" s="10">
        <f>IF($J29="","",VLOOKUP($J29,CauseCodes,5,FALSE))</f>
        <v/>
      </c>
      <c r="L29" s="10">
        <f>IF($J29="","",VLOOKUP($J29,CauseCodes,3,FALSE))</f>
        <v/>
      </c>
      <c r="M29" s="10">
        <f>IF($J29="","",VLOOKUP($J29,CauseCodes,4,FALSE))</f>
        <v/>
      </c>
      <c r="N29" s="10">
        <f>IF($J29="","",VLOOKUP($J29,CauseCodes,6,FALSE))</f>
        <v/>
      </c>
      <c r="O29" s="6" t="n"/>
      <c r="P29" s="6" t="n"/>
    </row>
    <row r="30">
      <c r="A30" s="8" t="n"/>
      <c r="B30" s="8" t="n"/>
      <c r="C30" s="6" t="n"/>
      <c r="D30" s="6" t="n"/>
      <c r="E30" s="9" t="n"/>
      <c r="F30" s="9" t="n"/>
      <c r="G30" s="12">
        <f>IF(COUNT(E30:F30)=0,"",N(E30)-N(F30))</f>
        <v/>
      </c>
      <c r="H30" s="10">
        <f>IF(OR($B30="",Reconciliation!$B$5=""),"",Reconciliation!$B$5-$B30)</f>
        <v/>
      </c>
      <c r="I30" s="6" t="n"/>
      <c r="J30" s="6" t="n"/>
      <c r="K30" s="10">
        <f>IF($J30="","",VLOOKUP($J30,CauseCodes,5,FALSE))</f>
        <v/>
      </c>
      <c r="L30" s="10">
        <f>IF($J30="","",VLOOKUP($J30,CauseCodes,3,FALSE))</f>
        <v/>
      </c>
      <c r="M30" s="10">
        <f>IF($J30="","",VLOOKUP($J30,CauseCodes,4,FALSE))</f>
        <v/>
      </c>
      <c r="N30" s="10">
        <f>IF($J30="","",VLOOKUP($J30,CauseCodes,6,FALSE))</f>
        <v/>
      </c>
      <c r="O30" s="6" t="n"/>
      <c r="P30" s="6" t="n"/>
    </row>
    <row r="31">
      <c r="A31" s="8" t="n"/>
      <c r="B31" s="8" t="n"/>
      <c r="C31" s="6" t="n"/>
      <c r="D31" s="6" t="n"/>
      <c r="E31" s="9" t="n"/>
      <c r="F31" s="9" t="n"/>
      <c r="G31" s="12">
        <f>IF(COUNT(E31:F31)=0,"",N(E31)-N(F31))</f>
        <v/>
      </c>
      <c r="H31" s="10">
        <f>IF(OR($B31="",Reconciliation!$B$5=""),"",Reconciliation!$B$5-$B31)</f>
        <v/>
      </c>
      <c r="I31" s="6" t="n"/>
      <c r="J31" s="6" t="n"/>
      <c r="K31" s="10">
        <f>IF($J31="","",VLOOKUP($J31,CauseCodes,5,FALSE))</f>
        <v/>
      </c>
      <c r="L31" s="10">
        <f>IF($J31="","",VLOOKUP($J31,CauseCodes,3,FALSE))</f>
        <v/>
      </c>
      <c r="M31" s="10">
        <f>IF($J31="","",VLOOKUP($J31,CauseCodes,4,FALSE))</f>
        <v/>
      </c>
      <c r="N31" s="10">
        <f>IF($J31="","",VLOOKUP($J31,CauseCodes,6,FALSE))</f>
        <v/>
      </c>
      <c r="O31" s="6" t="n"/>
      <c r="P31" s="6" t="n"/>
    </row>
    <row r="32">
      <c r="A32" s="8" t="n"/>
      <c r="B32" s="8" t="n"/>
      <c r="C32" s="6" t="n"/>
      <c r="D32" s="6" t="n"/>
      <c r="E32" s="9" t="n"/>
      <c r="F32" s="9" t="n"/>
      <c r="G32" s="12">
        <f>IF(COUNT(E32:F32)=0,"",N(E32)-N(F32))</f>
        <v/>
      </c>
      <c r="H32" s="10">
        <f>IF(OR($B32="",Reconciliation!$B$5=""),"",Reconciliation!$B$5-$B32)</f>
        <v/>
      </c>
      <c r="I32" s="6" t="n"/>
      <c r="J32" s="6" t="n"/>
      <c r="K32" s="10">
        <f>IF($J32="","",VLOOKUP($J32,CauseCodes,5,FALSE))</f>
        <v/>
      </c>
      <c r="L32" s="10">
        <f>IF($J32="","",VLOOKUP($J32,CauseCodes,3,FALSE))</f>
        <v/>
      </c>
      <c r="M32" s="10">
        <f>IF($J32="","",VLOOKUP($J32,CauseCodes,4,FALSE))</f>
        <v/>
      </c>
      <c r="N32" s="10">
        <f>IF($J32="","",VLOOKUP($J32,CauseCodes,6,FALSE))</f>
        <v/>
      </c>
      <c r="O32" s="6" t="n"/>
      <c r="P32" s="6" t="n"/>
    </row>
    <row r="33">
      <c r="A33" s="8" t="n"/>
      <c r="B33" s="8" t="n"/>
      <c r="C33" s="6" t="n"/>
      <c r="D33" s="6" t="n"/>
      <c r="E33" s="9" t="n"/>
      <c r="F33" s="9" t="n"/>
      <c r="G33" s="12">
        <f>IF(COUNT(E33:F33)=0,"",N(E33)-N(F33))</f>
        <v/>
      </c>
      <c r="H33" s="10">
        <f>IF(OR($B33="",Reconciliation!$B$5=""),"",Reconciliation!$B$5-$B33)</f>
        <v/>
      </c>
      <c r="I33" s="6" t="n"/>
      <c r="J33" s="6" t="n"/>
      <c r="K33" s="10">
        <f>IF($J33="","",VLOOKUP($J33,CauseCodes,5,FALSE))</f>
        <v/>
      </c>
      <c r="L33" s="10">
        <f>IF($J33="","",VLOOKUP($J33,CauseCodes,3,FALSE))</f>
        <v/>
      </c>
      <c r="M33" s="10">
        <f>IF($J33="","",VLOOKUP($J33,CauseCodes,4,FALSE))</f>
        <v/>
      </c>
      <c r="N33" s="10">
        <f>IF($J33="","",VLOOKUP($J33,CauseCodes,6,FALSE))</f>
        <v/>
      </c>
      <c r="O33" s="6" t="n"/>
      <c r="P33" s="6" t="n"/>
    </row>
    <row r="34">
      <c r="A34" s="8" t="n"/>
      <c r="B34" s="8" t="n"/>
      <c r="C34" s="6" t="n"/>
      <c r="D34" s="6" t="n"/>
      <c r="E34" s="9" t="n"/>
      <c r="F34" s="9" t="n"/>
      <c r="G34" s="12">
        <f>IF(COUNT(E34:F34)=0,"",N(E34)-N(F34))</f>
        <v/>
      </c>
      <c r="H34" s="10">
        <f>IF(OR($B34="",Reconciliation!$B$5=""),"",Reconciliation!$B$5-$B34)</f>
        <v/>
      </c>
      <c r="I34" s="6" t="n"/>
      <c r="J34" s="6" t="n"/>
      <c r="K34" s="10">
        <f>IF($J34="","",VLOOKUP($J34,CauseCodes,5,FALSE))</f>
        <v/>
      </c>
      <c r="L34" s="10">
        <f>IF($J34="","",VLOOKUP($J34,CauseCodes,3,FALSE))</f>
        <v/>
      </c>
      <c r="M34" s="10">
        <f>IF($J34="","",VLOOKUP($J34,CauseCodes,4,FALSE))</f>
        <v/>
      </c>
      <c r="N34" s="10">
        <f>IF($J34="","",VLOOKUP($J34,CauseCodes,6,FALSE))</f>
        <v/>
      </c>
      <c r="O34" s="6" t="n"/>
      <c r="P34" s="6" t="n"/>
    </row>
    <row r="35">
      <c r="A35" s="8" t="n"/>
      <c r="B35" s="8" t="n"/>
      <c r="C35" s="6" t="n"/>
      <c r="D35" s="6" t="n"/>
      <c r="E35" s="9" t="n"/>
      <c r="F35" s="9" t="n"/>
      <c r="G35" s="12">
        <f>IF(COUNT(E35:F35)=0,"",N(E35)-N(F35))</f>
        <v/>
      </c>
      <c r="H35" s="10">
        <f>IF(OR($B35="",Reconciliation!$B$5=""),"",Reconciliation!$B$5-$B35)</f>
        <v/>
      </c>
      <c r="I35" s="6" t="n"/>
      <c r="J35" s="6" t="n"/>
      <c r="K35" s="10">
        <f>IF($J35="","",VLOOKUP($J35,CauseCodes,5,FALSE))</f>
        <v/>
      </c>
      <c r="L35" s="10">
        <f>IF($J35="","",VLOOKUP($J35,CauseCodes,3,FALSE))</f>
        <v/>
      </c>
      <c r="M35" s="10">
        <f>IF($J35="","",VLOOKUP($J35,CauseCodes,4,FALSE))</f>
        <v/>
      </c>
      <c r="N35" s="10">
        <f>IF($J35="","",VLOOKUP($J35,CauseCodes,6,FALSE))</f>
        <v/>
      </c>
      <c r="O35" s="6" t="n"/>
      <c r="P35" s="6" t="n"/>
    </row>
    <row r="36">
      <c r="A36" s="8" t="n"/>
      <c r="B36" s="8" t="n"/>
      <c r="C36" s="6" t="n"/>
      <c r="D36" s="6" t="n"/>
      <c r="E36" s="9" t="n"/>
      <c r="F36" s="9" t="n"/>
      <c r="G36" s="12">
        <f>IF(COUNT(E36:F36)=0,"",N(E36)-N(F36))</f>
        <v/>
      </c>
      <c r="H36" s="10">
        <f>IF(OR($B36="",Reconciliation!$B$5=""),"",Reconciliation!$B$5-$B36)</f>
        <v/>
      </c>
      <c r="I36" s="6" t="n"/>
      <c r="J36" s="6" t="n"/>
      <c r="K36" s="10">
        <f>IF($J36="","",VLOOKUP($J36,CauseCodes,5,FALSE))</f>
        <v/>
      </c>
      <c r="L36" s="10">
        <f>IF($J36="","",VLOOKUP($J36,CauseCodes,3,FALSE))</f>
        <v/>
      </c>
      <c r="M36" s="10">
        <f>IF($J36="","",VLOOKUP($J36,CauseCodes,4,FALSE))</f>
        <v/>
      </c>
      <c r="N36" s="10">
        <f>IF($J36="","",VLOOKUP($J36,CauseCodes,6,FALSE))</f>
        <v/>
      </c>
      <c r="O36" s="6" t="n"/>
      <c r="P36" s="6" t="n"/>
    </row>
    <row r="37">
      <c r="A37" s="8" t="n"/>
      <c r="B37" s="8" t="n"/>
      <c r="C37" s="6" t="n"/>
      <c r="D37" s="6" t="n"/>
      <c r="E37" s="9" t="n"/>
      <c r="F37" s="9" t="n"/>
      <c r="G37" s="12">
        <f>IF(COUNT(E37:F37)=0,"",N(E37)-N(F37))</f>
        <v/>
      </c>
      <c r="H37" s="10">
        <f>IF(OR($B37="",Reconciliation!$B$5=""),"",Reconciliation!$B$5-$B37)</f>
        <v/>
      </c>
      <c r="I37" s="6" t="n"/>
      <c r="J37" s="6" t="n"/>
      <c r="K37" s="10">
        <f>IF($J37="","",VLOOKUP($J37,CauseCodes,5,FALSE))</f>
        <v/>
      </c>
      <c r="L37" s="10">
        <f>IF($J37="","",VLOOKUP($J37,CauseCodes,3,FALSE))</f>
        <v/>
      </c>
      <c r="M37" s="10">
        <f>IF($J37="","",VLOOKUP($J37,CauseCodes,4,FALSE))</f>
        <v/>
      </c>
      <c r="N37" s="10">
        <f>IF($J37="","",VLOOKUP($J37,CauseCodes,6,FALSE))</f>
        <v/>
      </c>
      <c r="O37" s="6" t="n"/>
      <c r="P37" s="6" t="n"/>
    </row>
    <row r="38">
      <c r="A38" s="8" t="n"/>
      <c r="B38" s="8" t="n"/>
      <c r="C38" s="6" t="n"/>
      <c r="D38" s="6" t="n"/>
      <c r="E38" s="9" t="n"/>
      <c r="F38" s="9" t="n"/>
      <c r="G38" s="12">
        <f>IF(COUNT(E38:F38)=0,"",N(E38)-N(F38))</f>
        <v/>
      </c>
      <c r="H38" s="10">
        <f>IF(OR($B38="",Reconciliation!$B$5=""),"",Reconciliation!$B$5-$B38)</f>
        <v/>
      </c>
      <c r="I38" s="6" t="n"/>
      <c r="J38" s="6" t="n"/>
      <c r="K38" s="10">
        <f>IF($J38="","",VLOOKUP($J38,CauseCodes,5,FALSE))</f>
        <v/>
      </c>
      <c r="L38" s="10">
        <f>IF($J38="","",VLOOKUP($J38,CauseCodes,3,FALSE))</f>
        <v/>
      </c>
      <c r="M38" s="10">
        <f>IF($J38="","",VLOOKUP($J38,CauseCodes,4,FALSE))</f>
        <v/>
      </c>
      <c r="N38" s="10">
        <f>IF($J38="","",VLOOKUP($J38,CauseCodes,6,FALSE))</f>
        <v/>
      </c>
      <c r="O38" s="6" t="n"/>
      <c r="P38" s="6" t="n"/>
    </row>
    <row r="39">
      <c r="A39" s="8" t="n"/>
      <c r="B39" s="8" t="n"/>
      <c r="C39" s="6" t="n"/>
      <c r="D39" s="6" t="n"/>
      <c r="E39" s="9" t="n"/>
      <c r="F39" s="9" t="n"/>
      <c r="G39" s="12">
        <f>IF(COUNT(E39:F39)=0,"",N(E39)-N(F39))</f>
        <v/>
      </c>
      <c r="H39" s="10">
        <f>IF(OR($B39="",Reconciliation!$B$5=""),"",Reconciliation!$B$5-$B39)</f>
        <v/>
      </c>
      <c r="I39" s="6" t="n"/>
      <c r="J39" s="6" t="n"/>
      <c r="K39" s="10">
        <f>IF($J39="","",VLOOKUP($J39,CauseCodes,5,FALSE))</f>
        <v/>
      </c>
      <c r="L39" s="10">
        <f>IF($J39="","",VLOOKUP($J39,CauseCodes,3,FALSE))</f>
        <v/>
      </c>
      <c r="M39" s="10">
        <f>IF($J39="","",VLOOKUP($J39,CauseCodes,4,FALSE))</f>
        <v/>
      </c>
      <c r="N39" s="10">
        <f>IF($J39="","",VLOOKUP($J39,CauseCodes,6,FALSE))</f>
        <v/>
      </c>
      <c r="O39" s="6" t="n"/>
      <c r="P39" s="6" t="n"/>
    </row>
    <row r="40">
      <c r="A40" s="8" t="n"/>
      <c r="B40" s="8" t="n"/>
      <c r="C40" s="6" t="n"/>
      <c r="D40" s="6" t="n"/>
      <c r="E40" s="9" t="n"/>
      <c r="F40" s="9" t="n"/>
      <c r="G40" s="12">
        <f>IF(COUNT(E40:F40)=0,"",N(E40)-N(F40))</f>
        <v/>
      </c>
      <c r="H40" s="10">
        <f>IF(OR($B40="",Reconciliation!$B$5=""),"",Reconciliation!$B$5-$B40)</f>
        <v/>
      </c>
      <c r="I40" s="6" t="n"/>
      <c r="J40" s="6" t="n"/>
      <c r="K40" s="10">
        <f>IF($J40="","",VLOOKUP($J40,CauseCodes,5,FALSE))</f>
        <v/>
      </c>
      <c r="L40" s="10">
        <f>IF($J40="","",VLOOKUP($J40,CauseCodes,3,FALSE))</f>
        <v/>
      </c>
      <c r="M40" s="10">
        <f>IF($J40="","",VLOOKUP($J40,CauseCodes,4,FALSE))</f>
        <v/>
      </c>
      <c r="N40" s="10">
        <f>IF($J40="","",VLOOKUP($J40,CauseCodes,6,FALSE))</f>
        <v/>
      </c>
      <c r="O40" s="6" t="n"/>
      <c r="P40" s="6" t="n"/>
    </row>
    <row r="41">
      <c r="A41" s="8" t="n"/>
      <c r="B41" s="8" t="n"/>
      <c r="C41" s="6" t="n"/>
      <c r="D41" s="6" t="n"/>
      <c r="E41" s="9" t="n"/>
      <c r="F41" s="9" t="n"/>
      <c r="G41" s="12">
        <f>IF(COUNT(E41:F41)=0,"",N(E41)-N(F41))</f>
        <v/>
      </c>
      <c r="H41" s="10">
        <f>IF(OR($B41="",Reconciliation!$B$5=""),"",Reconciliation!$B$5-$B41)</f>
        <v/>
      </c>
      <c r="I41" s="6" t="n"/>
      <c r="J41" s="6" t="n"/>
      <c r="K41" s="10">
        <f>IF($J41="","",VLOOKUP($J41,CauseCodes,5,FALSE))</f>
        <v/>
      </c>
      <c r="L41" s="10">
        <f>IF($J41="","",VLOOKUP($J41,CauseCodes,3,FALSE))</f>
        <v/>
      </c>
      <c r="M41" s="10">
        <f>IF($J41="","",VLOOKUP($J41,CauseCodes,4,FALSE))</f>
        <v/>
      </c>
      <c r="N41" s="10">
        <f>IF($J41="","",VLOOKUP($J41,CauseCodes,6,FALSE))</f>
        <v/>
      </c>
      <c r="O41" s="6" t="n"/>
      <c r="P41" s="6" t="n"/>
    </row>
  </sheetData>
  <autoFilter ref="A1:P41"/>
  <conditionalFormatting sqref="A2:P41">
    <cfRule type="expression" priority="1" dxfId="0">
      <formula>$K2="NEVER-CHASE"</formula>
    </cfRule>
    <cfRule type="expression" priority="2" dxfId="1">
      <formula>$K2="HOLD-TIMING"</formula>
    </cfRule>
    <cfRule type="expression" priority="3" dxfId="2">
      <formula>$K2="UNIDENTIFIED"</formula>
    </cfRule>
    <cfRule type="expression" priority="4" dxfId="2">
      <formula>AND(ABS(N($G2))&gt;0.005,$J2="")</formula>
    </cfRule>
  </conditionalFormatting>
  <dataValidations count="5">
    <dataValidation sqref="A2:B41" showDropDown="0" showInputMessage="0" showErrorMessage="1" allowBlank="1" errorTitle="Not a date" error="Enter a real date. The age column and the ageing block both read it." type="date" operator="between">
      <formula1>DATE(2000,1,1)</formula1>
      <formula2>DATE(2099,12,31)</formula2>
    </dataValidation>
    <dataValidation sqref="E2:F41" showDropDown="0" showInputMessage="0" showErrorMessage="1" allowBlank="1" errorTitle="Not an amount" error="Enter a number. Credits are negative; do not type a currency symbol." type="decimal" operator="between">
      <formula1>-1000000000</formula1>
      <formula2>1000000000</formula2>
    </dataValidation>
    <dataValidation sqref="I2:I41" showDropDown="0" showInputMessage="0" showErrorMessage="1" allowBlank="1" errorTitle="Pick a side" error="Which record carries this item: statement only, ledger only, or both." type="list">
      <formula1>"Statement only,Ledger only,Both"</formula1>
    </dataValidation>
    <dataValidation sqref="J2:J41" showDropDown="0" showInputMessage="0" showErrorMessage="1" allowBlank="1" errorTitle="Unknown cause code" error="Use a published code from the Cause codes sheet. If none of them fits, use UNIDENTIFIED — do not invent a code and do not leave it blank." type="list">
      <formula1>='Cause codes'!$A$2:$A$27</formula1>
    </dataValidation>
    <dataValidation sqref="P2:P41" showDropDown="0" showInputMessage="0" showErrorMessage="1" allowBlank="1" errorTitle="Yes or No" error="Has a query actually gone to the vendor for this line?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8" customWidth="1" min="2" max="2"/>
    <col width="15" customWidth="1" min="3" max="3"/>
    <col width="16" customWidth="1" min="4" max="4"/>
    <col width="16" customWidth="1" min="5" max="5"/>
    <col width="46" customWidth="1" min="6" max="6"/>
  </cols>
  <sheetData>
    <row r="1">
      <c r="A1" s="2" t="inlineStr">
        <is>
          <t>Code</t>
        </is>
      </c>
      <c r="B1" s="2" t="inlineStr">
        <is>
          <t>Reconciling item</t>
        </is>
      </c>
      <c r="C1" s="2" t="inlineStr">
        <is>
          <t>Error owner</t>
        </is>
      </c>
      <c r="D1" s="2" t="inlineStr">
        <is>
          <t>Self-correcting</t>
        </is>
      </c>
      <c r="E1" s="2" t="inlineStr">
        <is>
          <t>Disposition</t>
        </is>
      </c>
      <c r="F1" s="2" t="inlineStr">
        <is>
          <t>KB reference</t>
        </is>
      </c>
    </row>
    <row r="2">
      <c r="A2" s="21" t="inlineStr">
        <is>
          <t>TIMING-PAY-TRANSIT</t>
        </is>
      </c>
      <c r="B2" s="4" t="inlineStr">
        <is>
          <t>Payment released by us, not yet received or applied by the vendor</t>
        </is>
      </c>
      <c r="C2" s="22" t="inlineStr">
        <is>
          <t>Neither</t>
        </is>
      </c>
      <c r="D2" s="22" t="inlineStr">
        <is>
          <t>Yes</t>
        </is>
      </c>
      <c r="E2" s="23" t="inlineStr">
        <is>
          <t>HOLD-TIMING</t>
        </is>
      </c>
      <c r="F2" s="22" t="inlineStr">
        <is>
          <t>20-causes/timing-receipt-lag.html</t>
        </is>
      </c>
    </row>
    <row r="3">
      <c r="A3" s="21" t="inlineStr">
        <is>
          <t>TIMING-INV-TRANSIT</t>
        </is>
      </c>
      <c r="B3" s="4" t="inlineStr">
        <is>
          <t>Invoice raised by the vendor inside the period, not yet reached us</t>
        </is>
      </c>
      <c r="C3" s="22" t="inlineStr">
        <is>
          <t>Neither</t>
        </is>
      </c>
      <c r="D3" s="22" t="inlineStr">
        <is>
          <t>Yes</t>
        </is>
      </c>
      <c r="E3" s="23" t="inlineStr">
        <is>
          <t>HOLD-TIMING</t>
        </is>
      </c>
      <c r="F3" s="22" t="inlineStr">
        <is>
          <t>20-causes/timing-receipt-lag.html</t>
        </is>
      </c>
    </row>
    <row r="4">
      <c r="A4" s="21" t="inlineStr">
        <is>
          <t>GRNI-IN-TRANSIT</t>
        </is>
      </c>
      <c r="B4" s="4" t="inlineStr">
        <is>
          <t>Goods received and accrued in GRNI, invoice still in transit</t>
        </is>
      </c>
      <c r="C4" s="22" t="inlineStr">
        <is>
          <t>Neither</t>
        </is>
      </c>
      <c r="D4" s="22" t="inlineStr">
        <is>
          <t>Yes</t>
        </is>
      </c>
      <c r="E4" s="23" t="inlineStr">
        <is>
          <t>HOLD-TIMING</t>
        </is>
      </c>
      <c r="F4" s="22" t="inlineStr">
        <is>
          <t>20-causes/goods-in-transit.html</t>
        </is>
      </c>
    </row>
    <row r="5">
      <c r="A5" s="21" t="inlineStr">
        <is>
          <t>GRNI-AGED</t>
        </is>
      </c>
      <c r="B5" s="4" t="inlineStr">
        <is>
          <t>GRNI older than this vendor's despatch-to-invoice lead time</t>
        </is>
      </c>
      <c r="C5" s="22" t="inlineStr">
        <is>
          <t>Buyer system</t>
        </is>
      </c>
      <c r="D5" s="22" t="inlineStr">
        <is>
          <t>No</t>
        </is>
      </c>
      <c r="E5" s="22" t="inlineStr">
        <is>
          <t>QUERY-VENDOR</t>
        </is>
      </c>
      <c r="F5" s="22" t="inlineStr">
        <is>
          <t>20-causes/goods-in-transit.html</t>
        </is>
      </c>
    </row>
    <row r="6">
      <c r="A6" s="21" t="inlineStr">
        <is>
          <t>INV-NOT-RECEIVED</t>
        </is>
      </c>
      <c r="B6" s="4" t="inlineStr">
        <is>
          <t>Statement line with no invoice and no receipt anywhere on our side</t>
        </is>
      </c>
      <c r="C6" s="22" t="inlineStr">
        <is>
          <t>Vendor</t>
        </is>
      </c>
      <c r="D6" s="22" t="inlineStr">
        <is>
          <t>No</t>
        </is>
      </c>
      <c r="E6" s="22" t="inlineStr">
        <is>
          <t>QUERY-VENDOR</t>
        </is>
      </c>
      <c r="F6" s="22" t="inlineStr">
        <is>
          <t>30-method/decision-flow.html</t>
        </is>
      </c>
    </row>
    <row r="7">
      <c r="A7" s="21" t="inlineStr">
        <is>
          <t>INV-NOT-POSTED</t>
        </is>
      </c>
      <c r="B7" s="4" t="inlineStr">
        <is>
          <t>Invoice received and approved by us, never posted to the ledger</t>
        </is>
      </c>
      <c r="C7" s="22" t="inlineStr">
        <is>
          <t>Buyer</t>
        </is>
      </c>
      <c r="D7" s="22" t="inlineStr">
        <is>
          <t>No</t>
        </is>
      </c>
      <c r="E7" s="22" t="inlineStr">
        <is>
          <t>ADJUST-OURS</t>
        </is>
      </c>
      <c r="F7" s="22" t="inlineStr">
        <is>
          <t>30-method/procedure.html</t>
        </is>
      </c>
    </row>
    <row r="8">
      <c r="A8" s="21" t="inlineStr">
        <is>
          <t>RTV-NOT-CREDITED</t>
        </is>
      </c>
      <c r="B8" s="4" t="inlineStr">
        <is>
          <t>Goods returned and posted by us, not yet credited by the vendor</t>
        </is>
      </c>
      <c r="C8" s="22" t="inlineStr">
        <is>
          <t>Vendor</t>
        </is>
      </c>
      <c r="D8" s="22" t="inlineStr">
        <is>
          <t>No</t>
        </is>
      </c>
      <c r="E8" s="22" t="inlineStr">
        <is>
          <t>QUERY-VENDOR</t>
        </is>
      </c>
      <c r="F8" s="22" t="inlineStr">
        <is>
          <t>20-causes/rtv-returns.html</t>
        </is>
      </c>
    </row>
    <row r="9">
      <c r="A9" s="21" t="inlineStr">
        <is>
          <t>CN-NEVER-ISSUED</t>
        </is>
      </c>
      <c r="B9" s="4" t="inlineStr">
        <is>
          <t>Credit agreed in conversation, no credit note ever raised by either side</t>
        </is>
      </c>
      <c r="C9" s="22" t="inlineStr">
        <is>
          <t>Vendor</t>
        </is>
      </c>
      <c r="D9" s="22" t="inlineStr">
        <is>
          <t>No</t>
        </is>
      </c>
      <c r="E9" s="22" t="inlineStr">
        <is>
          <t>QUERY-VENDOR</t>
        </is>
      </c>
      <c r="F9" s="22" t="inlineStr">
        <is>
          <t>20-causes/credit-note-requested-not-issued.html</t>
        </is>
      </c>
    </row>
    <row r="10">
      <c r="A10" s="21" t="inlineStr">
        <is>
          <t>CN-SUPPRESSED</t>
        </is>
      </c>
      <c r="B10" s="4" t="inlineStr">
        <is>
          <t>Credit open on our side, omitted from the vendor's printed statement</t>
        </is>
      </c>
      <c r="C10" s="22" t="inlineStr">
        <is>
          <t>Vendor</t>
        </is>
      </c>
      <c r="D10" s="22" t="inlineStr">
        <is>
          <t>No</t>
        </is>
      </c>
      <c r="E10" s="22" t="inlineStr">
        <is>
          <t>QUERY-VENDOR</t>
        </is>
      </c>
      <c r="F10" s="22" t="inlineStr">
        <is>
          <t>20-causes/credit-note-requested-not-issued.html</t>
        </is>
      </c>
    </row>
    <row r="11">
      <c r="A11" s="21" t="inlineStr">
        <is>
          <t>DEBIT-NOTE-OPEN</t>
        </is>
      </c>
      <c r="B11" s="4" t="inlineStr">
        <is>
          <t>Our debit note; the claim is raised and the vendor has not accepted it</t>
        </is>
      </c>
      <c r="C11" s="22" t="inlineStr">
        <is>
          <t>Contested</t>
        </is>
      </c>
      <c r="D11" s="22" t="inlineStr">
        <is>
          <t>No</t>
        </is>
      </c>
      <c r="E11" s="22" t="inlineStr">
        <is>
          <t>QUERY-VENDOR</t>
        </is>
      </c>
      <c r="F11" s="22" t="inlineStr">
        <is>
          <t>20-causes/debit-notes.html</t>
        </is>
      </c>
    </row>
    <row r="12">
      <c r="A12" s="21" t="inlineStr">
        <is>
          <t>SD-RESIDUAL</t>
        </is>
      </c>
      <c r="B12" s="4" t="inlineStr">
        <is>
          <t>Settlement discount earned within terms, not applied by the vendor</t>
        </is>
      </c>
      <c r="C12" s="22" t="inlineStr">
        <is>
          <t>Vendor</t>
        </is>
      </c>
      <c r="D12" s="22" t="inlineStr">
        <is>
          <t>No</t>
        </is>
      </c>
      <c r="E12" s="24" t="inlineStr">
        <is>
          <t>NEVER-CHASE</t>
        </is>
      </c>
      <c r="F12" s="22" t="inlineStr">
        <is>
          <t>20-causes/settlement-discount.html</t>
        </is>
      </c>
    </row>
    <row r="13">
      <c r="A13" s="21" t="inlineStr">
        <is>
          <t>SD-UNEARNED</t>
        </is>
      </c>
      <c r="B13" s="4" t="inlineStr">
        <is>
          <t>Settlement discount deducted on a payment released outside terms</t>
        </is>
      </c>
      <c r="C13" s="22" t="inlineStr">
        <is>
          <t>Buyer</t>
        </is>
      </c>
      <c r="D13" s="22" t="inlineStr">
        <is>
          <t>No</t>
        </is>
      </c>
      <c r="E13" s="22" t="inlineStr">
        <is>
          <t>ADJUST-OURS</t>
        </is>
      </c>
      <c r="F13" s="22" t="inlineStr">
        <is>
          <t>20-causes/settlement-discount.html</t>
        </is>
      </c>
    </row>
    <row r="14">
      <c r="A14" s="21" t="inlineStr">
        <is>
          <t>SHORT-PAY</t>
        </is>
      </c>
      <c r="B14" s="4" t="inlineStr">
        <is>
          <t>Deduction taken with no terms, credit note or debit note behind it</t>
        </is>
      </c>
      <c r="C14" s="22" t="inlineStr">
        <is>
          <t>Contested</t>
        </is>
      </c>
      <c r="D14" s="22" t="inlineStr">
        <is>
          <t>No</t>
        </is>
      </c>
      <c r="E14" s="22" t="inlineStr">
        <is>
          <t>QUERY-VENDOR</t>
        </is>
      </c>
      <c r="F14" s="22" t="inlineStr">
        <is>
          <t>40-specimens/s6-mixed-credits-short-pays.html</t>
        </is>
      </c>
    </row>
    <row r="15">
      <c r="A15" s="21" t="inlineStr">
        <is>
          <t>CASH-UNAPPLIED</t>
        </is>
      </c>
      <c r="B15" s="4" t="inlineStr">
        <is>
          <t>Our payment banked by the vendor and left sitting unallocated</t>
        </is>
      </c>
      <c r="C15" s="22" t="inlineStr">
        <is>
          <t>Vendor</t>
        </is>
      </c>
      <c r="D15" s="22" t="inlineStr">
        <is>
          <t>No</t>
        </is>
      </c>
      <c r="E15" s="22" t="inlineStr">
        <is>
          <t>QUERY-VENDOR</t>
        </is>
      </c>
      <c r="F15" s="22" t="inlineStr">
        <is>
          <t>20-causes/unapplied-cash.html</t>
        </is>
      </c>
    </row>
    <row r="16">
      <c r="A16" s="21" t="inlineStr">
        <is>
          <t>CASH-MISALLOCATED</t>
        </is>
      </c>
      <c r="B16" s="4" t="inlineStr">
        <is>
          <t>Payment applied by the vendor against invoices we did not intend to settle</t>
        </is>
      </c>
      <c r="C16" s="22" t="inlineStr">
        <is>
          <t>Vendor</t>
        </is>
      </c>
      <c r="D16" s="22" t="inlineStr">
        <is>
          <t>No</t>
        </is>
      </c>
      <c r="E16" s="22" t="inlineStr">
        <is>
          <t>QUERY-VENDOR</t>
        </is>
      </c>
      <c r="F16" s="22" t="inlineStr">
        <is>
          <t>20-causes/unapplied-cash.html</t>
        </is>
      </c>
    </row>
    <row r="17">
      <c r="A17" s="21" t="inlineStr">
        <is>
          <t>DUP-PAYMENT</t>
        </is>
      </c>
      <c r="B17" s="4" t="inlineStr">
        <is>
          <t>Same liability paid twice; the vendor holds an unexplained credit</t>
        </is>
      </c>
      <c r="C17" s="22" t="inlineStr">
        <is>
          <t>Buyer</t>
        </is>
      </c>
      <c r="D17" s="22" t="inlineStr">
        <is>
          <t>No</t>
        </is>
      </c>
      <c r="E17" s="22" t="inlineStr">
        <is>
          <t>ADJUST-OURS</t>
        </is>
      </c>
      <c r="F17" s="22" t="inlineStr">
        <is>
          <t>20-causes/duplicate-payment.html</t>
        </is>
      </c>
    </row>
    <row r="18">
      <c r="A18" s="21" t="inlineStr">
        <is>
          <t>DUP-STATEMENT-LINE</t>
        </is>
      </c>
      <c r="B18" s="4" t="inlineStr">
        <is>
          <t>One document printed twice on the vendor's own statement</t>
        </is>
      </c>
      <c r="C18" s="22" t="inlineStr">
        <is>
          <t>Vendor</t>
        </is>
      </c>
      <c r="D18" s="22" t="inlineStr">
        <is>
          <t>No</t>
        </is>
      </c>
      <c r="E18" s="22" t="inlineStr">
        <is>
          <t>QUERY-VENDOR</t>
        </is>
      </c>
      <c r="F18" s="22" t="inlineStr">
        <is>
          <t>20-causes/duplicate-payment.html</t>
        </is>
      </c>
    </row>
    <row r="19">
      <c r="A19" s="21" t="inlineStr">
        <is>
          <t>WRONG-SUPPLIER</t>
        </is>
      </c>
      <c r="B19" s="4" t="inlineStr">
        <is>
          <t>Document posted to a different vendor's account in our purchase ledger</t>
        </is>
      </c>
      <c r="C19" s="22" t="inlineStr">
        <is>
          <t>Buyer</t>
        </is>
      </c>
      <c r="D19" s="22" t="inlineStr">
        <is>
          <t>No</t>
        </is>
      </c>
      <c r="E19" s="22" t="inlineStr">
        <is>
          <t>ADJUST-OURS</t>
        </is>
      </c>
      <c r="F19" s="22" t="inlineStr">
        <is>
          <t>20-causes/wrong-supplier-misposting.html</t>
        </is>
      </c>
    </row>
    <row r="20">
      <c r="A20" s="21" t="inlineStr">
        <is>
          <t>SIGN-FLIP</t>
        </is>
      </c>
      <c r="B20" s="4" t="inlineStr">
        <is>
          <t>Invoice posted as a credit note or the reverse; gap is twice the face value</t>
        </is>
      </c>
      <c r="C20" s="22" t="inlineStr">
        <is>
          <t>Buyer</t>
        </is>
      </c>
      <c r="D20" s="22" t="inlineStr">
        <is>
          <t>No</t>
        </is>
      </c>
      <c r="E20" s="22" t="inlineStr">
        <is>
          <t>ADJUST-OURS</t>
        </is>
      </c>
      <c r="F20" s="22" t="inlineStr">
        <is>
          <t>20-causes/sign-flip-errors.html</t>
        </is>
      </c>
    </row>
    <row r="21">
      <c r="A21" s="21" t="inlineStr">
        <is>
          <t>KEYING-AMOUNT</t>
        </is>
      </c>
      <c r="B21" s="4" t="inlineStr">
        <is>
          <t>Same reference on both sides, amounts differ — transposition or mis-key</t>
        </is>
      </c>
      <c r="C21" s="22" t="inlineStr">
        <is>
          <t>Contested</t>
        </is>
      </c>
      <c r="D21" s="22" t="inlineStr">
        <is>
          <t>No</t>
        </is>
      </c>
      <c r="E21" s="22" t="inlineStr">
        <is>
          <t>QUERY-VENDOR</t>
        </is>
      </c>
      <c r="F21" s="22" t="inlineStr">
        <is>
          <t>30-method/decision-flow.html</t>
        </is>
      </c>
    </row>
    <row r="22">
      <c r="A22" s="21" t="inlineStr">
        <is>
          <t>TAX-BASIS</t>
        </is>
      </c>
      <c r="B22" s="4" t="inlineStr">
        <is>
          <t>One side holds net and the other gross; every line is off by the tax rate</t>
        </is>
      </c>
      <c r="C22" s="22" t="inlineStr">
        <is>
          <t>System</t>
        </is>
      </c>
      <c r="D22" s="22" t="inlineStr">
        <is>
          <t>No</t>
        </is>
      </c>
      <c r="E22" s="22" t="inlineStr">
        <is>
          <t>ADJUST-OURS</t>
        </is>
      </c>
      <c r="F22" s="22" t="inlineStr">
        <is>
          <t>20-causes/tax-basis-mismatch.html</t>
        </is>
      </c>
    </row>
    <row r="23">
      <c r="A23" s="21" t="inlineStr">
        <is>
          <t>FX-TRANSLATION</t>
        </is>
      </c>
      <c r="B23" s="4" t="inlineStr">
        <is>
          <t>Vendor states their currency; our ledger holds ours at a different rate</t>
        </is>
      </c>
      <c r="C23" s="22" t="inlineStr">
        <is>
          <t>System</t>
        </is>
      </c>
      <c r="D23" s="22" t="inlineStr">
        <is>
          <t>No</t>
        </is>
      </c>
      <c r="E23" s="24" t="inlineStr">
        <is>
          <t>NEVER-CHASE</t>
        </is>
      </c>
      <c r="F23" s="22" t="inlineStr">
        <is>
          <t>20-causes/fx-multicurrency.html</t>
        </is>
      </c>
    </row>
    <row r="24">
      <c r="A24" s="21" t="inlineStr">
        <is>
          <t>ROUNDING</t>
        </is>
      </c>
      <c r="B24" s="4" t="inlineStr">
        <is>
          <t>Per-line versus document-total tax rounding; pence, never pounds</t>
        </is>
      </c>
      <c r="C24" s="22" t="inlineStr">
        <is>
          <t>Nobody</t>
        </is>
      </c>
      <c r="D24" s="22" t="inlineStr">
        <is>
          <t>No</t>
        </is>
      </c>
      <c r="E24" s="24" t="inlineStr">
        <is>
          <t>NEVER-CHASE</t>
        </is>
      </c>
      <c r="F24" s="22" t="inlineStr">
        <is>
          <t>20-causes/rounding.html</t>
        </is>
      </c>
    </row>
    <row r="25">
      <c r="A25" s="21" t="inlineStr">
        <is>
          <t>INTEREST-FEE</t>
        </is>
      </c>
      <c r="B25" s="4" t="inlineStr">
        <is>
          <t>Late-payment interest or fee added by the vendor, on no approved invoice</t>
        </is>
      </c>
      <c r="C25" s="22" t="inlineStr">
        <is>
          <t>Shared</t>
        </is>
      </c>
      <c r="D25" s="22" t="inlineStr">
        <is>
          <t>No</t>
        </is>
      </c>
      <c r="E25" s="22" t="inlineStr">
        <is>
          <t>QUERY-VENDOR</t>
        </is>
      </c>
      <c r="F25" s="22" t="inlineStr">
        <is>
          <t>20-causes/interest-fees.html</t>
        </is>
      </c>
    </row>
    <row r="26">
      <c r="A26" s="21" t="inlineStr">
        <is>
          <t>CONTRA-SETOFF</t>
        </is>
      </c>
      <c r="B26" s="4" t="inlineStr">
        <is>
          <t>Set-off against a sales-ledger balance owed by the same counterparty</t>
        </is>
      </c>
      <c r="C26" s="22" t="inlineStr">
        <is>
          <t>Contested</t>
        </is>
      </c>
      <c r="D26" s="22" t="inlineStr">
        <is>
          <t>No</t>
        </is>
      </c>
      <c r="E26" s="22" t="inlineStr">
        <is>
          <t>QUERY-VENDOR</t>
        </is>
      </c>
      <c r="F26" s="22" t="inlineStr">
        <is>
          <t>30-method/worked-examples.html</t>
        </is>
      </c>
    </row>
    <row r="27">
      <c r="A27" s="21" t="inlineStr">
        <is>
          <t>UNIDENTIFIED</t>
        </is>
      </c>
      <c r="B27" s="4" t="inlineStr">
        <is>
          <t>Difference that survived every check above — named, aged, and never plugged</t>
        </is>
      </c>
      <c r="C27" s="22" t="inlineStr">
        <is>
          <t>Unknown</t>
        </is>
      </c>
      <c r="D27" s="22" t="inlineStr">
        <is>
          <t>No</t>
        </is>
      </c>
      <c r="E27" s="25" t="inlineStr">
        <is>
          <t>UNIDENTIFIED</t>
        </is>
      </c>
      <c r="F27" s="22" t="inlineStr">
        <is>
          <t>30-method/decision-flow.html</t>
        </is>
      </c>
    </row>
  </sheetData>
  <autoFilter ref="A1:F2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74" customWidth="1" min="2" max="2"/>
    <col width="34" customWidth="1" min="3" max="3"/>
  </cols>
  <sheetData>
    <row r="1">
      <c r="A1" s="2" t="inlineStr">
        <is>
          <t>Check</t>
        </is>
      </c>
      <c r="B1" s="2" t="inlineStr">
        <is>
          <t>What it proves</t>
        </is>
      </c>
      <c r="C1" s="2" t="inlineStr">
        <is>
          <t>Result</t>
        </is>
      </c>
    </row>
    <row r="2">
      <c r="A2" s="3" t="inlineStr">
        <is>
          <t>The bridge foots</t>
        </is>
      </c>
      <c r="B2" s="11" t="inlineStr">
        <is>
          <t>Statement, less every identified difference, equals the ledger.</t>
        </is>
      </c>
      <c r="C2" s="3">
        <f>IF(ABS(N(Reconciliation!$C$45))&lt;=0.005,"PASS","FAIL")</f>
        <v/>
      </c>
    </row>
    <row r="3">
      <c r="A3" s="3" t="inlineStr">
        <is>
          <t>Every difference carries a cause code</t>
        </is>
      </c>
      <c r="B3" s="11" t="inlineStr">
        <is>
          <t>A line with money on it and no code is a difference nobody has classified.</t>
        </is>
      </c>
      <c r="C3" s="3">
        <f>IF(SUMPRODUCT((ABS(N(Lines!$G$2:$G$41))&gt;0.005)*(Lines!$J$2:$J$41=""))=0,"PASS","FAIL")</f>
        <v/>
      </c>
    </row>
    <row r="4">
      <c r="A4" s="3" t="inlineStr">
        <is>
          <t>Every code resolved a disposition</t>
        </is>
      </c>
      <c r="B4" s="11" t="inlineStr">
        <is>
          <t>A coded line whose disposition is blank means the lookup failed.</t>
        </is>
      </c>
      <c r="C4" s="3">
        <f>IF(COUNTIF(Lines!$J$2:$J$41,"?*")=COUNTIF(Lines!$K$2:$K$41,"?*"),"PASS","FAIL")</f>
        <v/>
      </c>
    </row>
    <row r="5">
      <c r="A5" s="3" t="inlineStr">
        <is>
          <t>The header is complete</t>
        </is>
      </c>
      <c r="B5" s="11" t="inlineStr">
        <is>
          <t>Supplier, account code, statement date and both currencies are stated.</t>
        </is>
      </c>
      <c r="C5" s="3">
        <f>IF(COUNTA(Reconciliation!$B$3:$B$7)=5,"PASS","FAIL")</f>
        <v/>
      </c>
    </row>
    <row r="6">
      <c r="A6" s="3" t="inlineStr">
        <is>
          <t>The opening balance was agreed, not assumed</t>
        </is>
      </c>
      <c r="B6" s="11" t="inlineStr">
        <is>
          <t>An unagreed opening balance carries last month's error into this one.</t>
        </is>
      </c>
      <c r="C6" s="3">
        <f>IF(Reconciliation!$B$10="Yes","PASS","FAIL")</f>
        <v/>
      </c>
    </row>
    <row r="7">
      <c r="A7" s="3" t="inlineStr">
        <is>
          <t>A currency difference is coded, not ignored</t>
        </is>
      </c>
      <c r="B7" s="11" t="inlineStr">
        <is>
          <t>Two currencies with no FX-TRANSLATION line means the rate was never applied.</t>
        </is>
      </c>
      <c r="C7" s="3">
        <f>IF(OR(Reconciliation!$B$6=Reconciliation!$B$7,COUNTIF(Lines!$J$2:$J$41,"FX-TRANSLATION")&gt;0),"PASS","FAIL")</f>
        <v/>
      </c>
    </row>
    <row r="8">
      <c r="A8" s="3" t="inlineStr">
        <is>
          <t>No never-chase line has been chased</t>
        </is>
      </c>
      <c r="B8" s="11" t="inlineStr">
        <is>
          <t>Querying a settlement-discount residual asks for money we do not owe.</t>
        </is>
      </c>
      <c r="C8" s="3">
        <f>IF(SUMPRODUCT((Lines!$K$2:$K$41="NEVER-CHASE")*(Lines!$P$2:$P$41="Yes"))=0,"PASS","FAIL")</f>
        <v/>
      </c>
    </row>
    <row r="9">
      <c r="A9" s="3" t="inlineStr">
        <is>
          <t>Every query line has actually been raised</t>
        </is>
      </c>
      <c r="B9" s="11" t="inlineStr">
        <is>
          <t>A QUERY-VENDOR line nobody sent is an exception logged and abandoned.</t>
        </is>
      </c>
      <c r="C9" s="3">
        <f>IF(SUMPRODUCT((Lines!$K$2:$K$41="QUERY-VENDOR")*(Lines!$P$2:$P$41&lt;&gt;"Yes"))=0,"PASS","FAIL")</f>
        <v/>
      </c>
    </row>
    <row r="10">
      <c r="A10" s="3" t="inlineStr">
        <is>
          <t>Nothing unresolved is over 90 days old</t>
        </is>
      </c>
      <c r="B10" s="11" t="inlineStr">
        <is>
          <t>Past the vendor's lead time an item is not timing; it is unfinished work.</t>
        </is>
      </c>
      <c r="C10" s="3">
        <f>IF(N(Reconciliation!$C$60)=0,"PASS","FAIL")</f>
        <v/>
      </c>
    </row>
    <row r="11">
      <c r="A11" s="3" t="inlineStr">
        <is>
          <t>No document reference is listed twice</t>
        </is>
      </c>
      <c r="B11" s="11" t="inlineStr">
        <is>
          <t>The same reference on two rows double-counts it in the bridge.</t>
        </is>
      </c>
      <c r="C11" s="3">
        <f>IF(SUMPRODUCT((Lines!$C$2:$C$41&lt;&gt;"")*1)=SUMPRODUCT((Lines!$C$2:$C$41&lt;&gt;"")/COUNTIF(Lines!$C$2:$C$41,Lines!$C$2:$C$41&amp;"")),"PASS","FAIL")</f>
        <v/>
      </c>
    </row>
    <row r="13">
      <c r="A13" s="26" t="inlineStr">
        <is>
          <t>Sign-off</t>
        </is>
      </c>
      <c r="B13" s="27" t="inlineStr">
        <is>
          <t>A reconciliation that foots is not the same as one that is right. This cell withholds sign-off while any check above is failing.</t>
        </is>
      </c>
      <c r="C13" s="28">
        <f>IF(COUNTIF($C$2:$C$11,"FAIL")=0,"SIGNABLE","NOT SIGNABLE - "&amp;COUNTIF($C$2:$C$11,"FAIL")&amp;" check(s) failing")</f>
        <v/>
      </c>
    </row>
  </sheetData>
  <conditionalFormatting sqref="C2:C11">
    <cfRule type="expression" priority="1" dxfId="2">
      <formula>$C2="FAIL"</formula>
    </cfRule>
    <cfRule type="expression" priority="2" dxfId="1">
      <formula>$C2="PASS"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Vendor Statement Reconciliation Knowledge Base</dc:creator>
  <dc:title xmlns:dc="http://purl.org/dc/elements/1.1/">Vendor statement reconciliation workbook</dc:title>
  <dcterms:created xmlns:dcterms="http://purl.org/dc/terms/" xmlns:xsi="http://www.w3.org/2001/XMLSchema-instance" xsi:type="dcterms:W3CDTF">2026-08-10T00:00:00Z</dcterms:created>
  <dcterms:modified xmlns:dcterms="http://purl.org/dc/terms/" xmlns:xsi="http://www.w3.org/2001/XMLSchema-instance" xsi:type="dcterms:W3CDTF">2026-08-10T00:00:00Z</dcterms:modified>
  <cp:lastModifiedBy>Vendor Statement Reconciliation Knowledge Base</cp:lastModifiedBy>
</cp:coreProperties>
</file>